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Revised-Final" sheetId="1" r:id="rId1"/>
  </sheets>
  <definedNames/>
  <calcPr fullCalcOnLoad="1"/>
</workbook>
</file>

<file path=xl/sharedStrings.xml><?xml version="1.0" encoding="utf-8"?>
<sst xmlns="http://schemas.openxmlformats.org/spreadsheetml/2006/main" count="192" uniqueCount="133">
  <si>
    <t xml:space="preserve">3)         Details of Exceptional Items                                                                                      (Rs. in crore)
                                                                                          Corresponding                                  Previous 
                                                                                          3 months in the    Accounting        Accounting 
                                                9 months       3 months        previous year        year ended        year ended 
                                                ended on       ended on         ended on             on                     on
                                                31.12.2006    31.03.2007      31.03.2006           31.03.2007        31.03.2006
  a)  Surplus on sale of Ship               -                     -                0.07                      -                     (47.98)
  b) Payment under Voluntary
      Retirement Scheme (VRS)       56.92              18.13            1.58                    75.05                   5.50
  c) Gratuity, Exit payments, etc.    30.63            36..69                -                      67.32                      -
                                                    ----------          ----------           ---------               ------------                --------
                                        Total     87.55            54 .82            1.65                  142..37                (42.48)
                                                    ----------          ----------           ---------               ------------                --------
4)   Pursuant to the adoption of Accounting Standard 15 (Revised 2005) (AS-15) on “Employee Benefits” issued by the Institute of Chartered Accountants of India,  transitional liability as at 1.4.2006 of Rs.5.12 crore (net of tax of Rs.2.61 crore) has been adjusted against the opening balance of General Reserve and the liability for the year arising on account of the revision to AS-15 amounting to Rs. 0.61 crore is charged to the Profit and Loss Account. (Previous periods – nil).
5)      Total exports of the Company during the year amounted to Rs. 315 crore which are included in the Net Sales.  Such 
           exports represent about 10% of the Net Sales. (Previous year Rs.318 crore).
6)      Net adjustments in respect of earlier years includes provision for proportionate arrears of depreciation for prior years
          amounting to Rs.8.99 crore (previous year Rs.12.29 crore) in accordance with the Central Government permission
          obtained in earlier years.
:   5   :
7)     Information on investor complaints for the quarter – (Nos.) : Opening balance – 0, New – 15, Disposals – 15, Closing
          balance – 0.
8)     The previous periods’ figures have been regrouped / recast wherever necessary.
9)     The above results have been reviewed and recommended for adoption by the Audit Committee to the Board of Directors
          and have been approved by the Board at their meeting held on 3rd May, 2007.
</t>
  </si>
  <si>
    <t xml:space="preserve">
                      By Order of the Board
       For Century Textiles and Industries Ltd
Place  :  Mumbai
                                B.L. Jain
Date   :  03-05-2007                                Wholetime Director.
</t>
  </si>
  <si>
    <t xml:space="preserve">CENTURY TEXTILES AND INDUSTRIES LIMITED
Notes :
1) In March 2007, the Board of Directors declared an interim dividend @ 37.50% on the paid up equity share capital of the Company i.e. Rs.3.75 (Rupees Three and Paise Seventy Five Only) per equity share of Rs.10/- each for the accounting year 2006-07 amounting to Rs.34.89 crore. The said dividend was paid to the shareholders of the Company holding shares as on 21st March 2007 being the record date fixed for the purpose. This interim dividend is treated as the final dividend for the year 2006-07. The final dividend in the previous year was @ 30%.
2)   (a)     The difficulties faced by our composite textile mill in Mumbai have been commented upon in earlier years. The mill is unviable because of technical limitations of the machinery, comparatively high labour cost, government levies, water and electricity charges. Although serious efforts were made to continue to operate the mill on a reduced scale, in view of the relentless rise in costs, it was not viable. Accordingly, a Voluntary Retirement Scheme (VRS) was introduced in the mill, as a result of which over 6300 mill workers and staff constituting more than 95% of the total employee strength have opted for retirement during the months of November and December 2006. Consequently, the manufacturing operations at the mill have effectively ceased. 275 workers have not accepted voluntary retirement. With such a reduced number, it is not possible to operate the mill and accordingly an application was made by the Company to the Labour Commissioner under the applicable provisions of the Industrial Disputes Act for Government’s permission to close the operations of the textile mill. During the course of the hearing before the Labour Commissioner, the Hon’ble Minister for Labour intervened at the instance of the workers and suggested that the matter be resolved amicably between the management and the workers. In view of this, it was felt necessary to withdraw the application for permission for closure for the time being and discuss the issue afresh with the workers. If an amicable solution cannot be worked out in the near future the Company may have to make an application once again to the Labour Commissioner to allow the closure of the textile mill at Worli, Mumbai.
 (b)  The revenue and results relating to the ordinary activities attributable to the discontinuing operation of the aforesaid textile mill for the quarter and year ended 31.03.2007 are as under  :-
       3 months ended year ended
       31.03.2007  31.03.2007
       (Rs.in crore)  (Rs.in crore)
i) Revenue         10.47      157.51
ii) Results – Profit / (Loss)         0.51                (44.90)
(c) Pursuant to the accounting treatment permitted by the revised Accounting Standard 15 (AS-15) on Employee Benefits, the payments made during the year, under the Voluntary Retirement Scheme (VRS), are being charged to the Profit and Loss Account over a period of four accounting years commencing from the accounting year 2006-07. Accordingly, VRS (including prior year VRS) charged for the quarter and for the year ended 31st March, 2007 amount to Rs.20.24 crore &amp; Rs.77.35 crore respectively, of which, Rs.18.13 crore and Rs.75.05 crore respectively, relate to the Textile Mill at Worli.
(d) Consequent to the Voluntary Retirement Scheme, gratuity and other exit payments have been made upto 31st March, 2007 aggregating Rs.67.32 crore.  An amount of Rs.30.63 crore was charged in the previous quarter ended 31st December 2006 and the balance has been charged in the current quarter ended 31st March 2007.
(e) As a result of virtual cessation of manufacturing operations at the textile mill at Worli, the results for the quarter and for the year ended 31st March, 2007 are both not comparable with those of previous corresponding periods.
</t>
  </si>
  <si>
    <t>1.</t>
  </si>
  <si>
    <t>2.</t>
  </si>
  <si>
    <t>3.</t>
  </si>
  <si>
    <t>Total Expenditure</t>
  </si>
  <si>
    <t>a)</t>
  </si>
  <si>
    <t>b)</t>
  </si>
  <si>
    <t>c)</t>
  </si>
  <si>
    <t>Staff Cost</t>
  </si>
  <si>
    <t>d)</t>
  </si>
  <si>
    <t>4.</t>
  </si>
  <si>
    <t>5.</t>
  </si>
  <si>
    <t>6.</t>
  </si>
  <si>
    <t>7.</t>
  </si>
  <si>
    <t>8.</t>
  </si>
  <si>
    <t>9.</t>
  </si>
  <si>
    <t>f)</t>
  </si>
  <si>
    <t>g)</t>
  </si>
  <si>
    <t>e)</t>
  </si>
  <si>
    <t>Stores &amp; Spare parts consumed</t>
  </si>
  <si>
    <t>Power, Fuel &amp; Water</t>
  </si>
  <si>
    <t>Interest (Net)</t>
  </si>
  <si>
    <t>Net Sales/Income from operations</t>
  </si>
  <si>
    <t>ended on</t>
  </si>
  <si>
    <t>Consumption of raw materials</t>
  </si>
  <si>
    <t>(Increase)/Decrease in stock in trade</t>
  </si>
  <si>
    <t>Total</t>
  </si>
  <si>
    <t>Capital Employed</t>
  </si>
  <si>
    <t>Segmentwise Revenue, Results and Capital Employed, under Clause 41 of the</t>
  </si>
  <si>
    <t xml:space="preserve">Depreciation </t>
  </si>
  <si>
    <t>3 months</t>
  </si>
  <si>
    <t>Corresponding</t>
  </si>
  <si>
    <t>3 months in the</t>
  </si>
  <si>
    <t>previous year</t>
  </si>
  <si>
    <t>(Audited)</t>
  </si>
  <si>
    <t>Cement</t>
  </si>
  <si>
    <t>Accounting</t>
  </si>
  <si>
    <t>year ended</t>
  </si>
  <si>
    <t>No. of Shares ...............</t>
  </si>
  <si>
    <t>Percentage of Shareholding .............</t>
  </si>
  <si>
    <t xml:space="preserve">Segment Revenue : </t>
  </si>
  <si>
    <t>Less:</t>
  </si>
  <si>
    <t>i.   Interest</t>
  </si>
  <si>
    <t xml:space="preserve">    net of un-allocable income</t>
  </si>
  <si>
    <t xml:space="preserve">Segment Results : </t>
  </si>
  <si>
    <t>15.</t>
  </si>
  <si>
    <t xml:space="preserve">Paid-up equity share capital </t>
  </si>
  <si>
    <t>(Segment Assets-Segment Liabilities)</t>
  </si>
  <si>
    <t>*</t>
  </si>
  <si>
    <t>Less: Inter segment Revenue</t>
  </si>
  <si>
    <t>CENTURY  TEXTILES  AND  INDUSTRIES  LIMITED</t>
  </si>
  <si>
    <t>"Textiles" include Yarn, Cloth, Denim Cloth, Viscose Filament Yarn and Tyre Yarn</t>
  </si>
  <si>
    <t>**</t>
  </si>
  <si>
    <t>Freight, Forwarding, Octroi,  etc.</t>
  </si>
  <si>
    <t xml:space="preserve">Net after Inter segment Revenue </t>
  </si>
  <si>
    <t>13.</t>
  </si>
  <si>
    <t>12.</t>
  </si>
  <si>
    <t>14.</t>
  </si>
  <si>
    <t>ii. Other un-allocable expenditure</t>
  </si>
  <si>
    <t xml:space="preserve">Net adjustments including arrears of </t>
  </si>
  <si>
    <t>depreciation, in respect of earlier years</t>
  </si>
  <si>
    <t>decrease</t>
  </si>
  <si>
    <t>over prev.</t>
  </si>
  <si>
    <t>quarter</t>
  </si>
  <si>
    <t xml:space="preserve">Net Profit </t>
  </si>
  <si>
    <t>Net sales / Income from operations</t>
  </si>
  <si>
    <t>16.</t>
  </si>
  <si>
    <t>(Net Sales / Income from operations)</t>
  </si>
  <si>
    <t>Less:  Excise Duty</t>
  </si>
  <si>
    <t>Sales / Income from operations</t>
  </si>
  <si>
    <t>Regd. Office:  Century Bhavan, Dr. Annie Besant Road, Worli, Mumbai -  400030.</t>
  </si>
  <si>
    <t xml:space="preserve">Others **  </t>
  </si>
  <si>
    <t>@</t>
  </si>
  <si>
    <t>Sub-Total</t>
  </si>
  <si>
    <t>Pulp and Paper  @</t>
  </si>
  <si>
    <t>"Pulp and Paper" include Pulp and Writing &amp; Printing Paper</t>
  </si>
  <si>
    <t>Previous</t>
  </si>
  <si>
    <t>(Rs.in Crore)</t>
  </si>
  <si>
    <t>10.</t>
  </si>
  <si>
    <t>Contd…..2</t>
  </si>
  <si>
    <t>Provision for Taxation :</t>
  </si>
  <si>
    <t xml:space="preserve">Current Tax </t>
  </si>
  <si>
    <t>Fringe Benefit Tax</t>
  </si>
  <si>
    <t xml:space="preserve">Add / ( Less ) :  </t>
  </si>
  <si>
    <t>on 31.03.2006</t>
  </si>
  <si>
    <t xml:space="preserve">Deferred Tax  </t>
  </si>
  <si>
    <t xml:space="preserve">"Others" include Salt, Chemicals,Floriculture, etc.  </t>
  </si>
  <si>
    <t>$</t>
  </si>
  <si>
    <t>Shipping $</t>
  </si>
  <si>
    <t xml:space="preserve">Shipping operations were discontinued in the previous year </t>
  </si>
  <si>
    <t>Aggregate of Public Shareholding</t>
  </si>
  <si>
    <t>5,33,05,750</t>
  </si>
  <si>
    <t xml:space="preserve">Other Income </t>
  </si>
  <si>
    <t>%</t>
  </si>
  <si>
    <t xml:space="preserve"> increase/</t>
  </si>
  <si>
    <t>31.12.2006</t>
  </si>
  <si>
    <t>9 months</t>
  </si>
  <si>
    <t>Reserves excluding revaluation reserves</t>
  </si>
  <si>
    <t xml:space="preserve"> (Face value: Rs.10/- per Share)</t>
  </si>
  <si>
    <t xml:space="preserve"> (as per Balance Sheet)</t>
  </si>
  <si>
    <t>Basic and Diluted Earnings per share</t>
  </si>
  <si>
    <t>in Rs. - Not annualised :</t>
  </si>
  <si>
    <t>17.</t>
  </si>
  <si>
    <t>18.</t>
  </si>
  <si>
    <t>Other expenditure</t>
  </si>
  <si>
    <t>5,34,02,770</t>
  </si>
  <si>
    <t xml:space="preserve">AUDITED FINANCIAL RESULTS </t>
  </si>
  <si>
    <t>FOR THE YEAR ENDED 31ST MARCH , 2007</t>
  </si>
  <si>
    <t>Listing Agreement for the year ended 31st March, 2007</t>
  </si>
  <si>
    <t>31.03.2007</t>
  </si>
  <si>
    <t>31.03.2006</t>
  </si>
  <si>
    <t>on 31.03.2007</t>
  </si>
  <si>
    <t>5,34,03,270</t>
  </si>
  <si>
    <t>Year</t>
  </si>
  <si>
    <t>Gross Profit before Depreciation, Exceptional</t>
  </si>
  <si>
    <t>Items and Taxation.  (3+4-5-6)</t>
  </si>
  <si>
    <t>11</t>
  </si>
  <si>
    <t>Profit before Taxation</t>
  </si>
  <si>
    <t>a) Including Exceptional Items</t>
  </si>
  <si>
    <t>b) Excluding Exceptional Items</t>
  </si>
  <si>
    <t>Profit before Exceptional Items and Taxation</t>
  </si>
  <si>
    <t>Exceptional Items</t>
  </si>
  <si>
    <t>( Add) / Less:</t>
  </si>
  <si>
    <t xml:space="preserve"> Inter Segment Profit</t>
  </si>
  <si>
    <t xml:space="preserve"> Taxation (7-8-9)</t>
  </si>
  <si>
    <t xml:space="preserve">Profit  before Exceptional Items and </t>
  </si>
  <si>
    <t>Exceptional Items ( See Note  3  )</t>
  </si>
  <si>
    <t xml:space="preserve">Profit / ( Loss ) after depreciation </t>
  </si>
  <si>
    <t>but before interest and exceptional items</t>
  </si>
  <si>
    <t>Textiles * ( See Notes 2 and 3  )</t>
  </si>
  <si>
    <t>Textiles * { See Note 2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</si>
</sst>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_);[Red]\(0.00\)"/>
    <numFmt numFmtId="175" formatCode="0.00;[Red]0.00"/>
    <numFmt numFmtId="176" formatCode="_(* #,##0.0_);_(* \(#,##0.0\);_(* &quot;-&quot;_);_(@_)"/>
    <numFmt numFmtId="177" formatCode="_(* #,##0.00_);_(* \(#,##0.00\);_(* &quot;-&quot;_);_(@_)"/>
    <numFmt numFmtId="178" formatCode="_(* #,##0.0_);_(* \(#,##0.0\);_(* &quot;-&quot;??_);_(@_)"/>
    <numFmt numFmtId="179" formatCode="_(* #,##0_);_(* \(#,##0\);_(* &quot;-&quot;??_);_(@_)"/>
  </numFmts>
  <fonts count="9">
    <font>
      <sz val="10"/>
      <name val="Arial"/>
      <family val="0"/>
    </font>
    <font>
      <b/>
      <sz val="10"/>
      <name val="Arial"/>
      <family val="2"/>
    </font>
    <font>
      <b/>
      <u val="single"/>
      <sz val="10"/>
      <name val="Arial"/>
      <family val="2"/>
    </font>
    <font>
      <u val="single"/>
      <sz val="10"/>
      <name val="Arial"/>
      <family val="2"/>
    </font>
    <font>
      <u val="single"/>
      <sz val="10"/>
      <color indexed="12"/>
      <name val="Arial"/>
      <family val="0"/>
    </font>
    <font>
      <u val="single"/>
      <sz val="10"/>
      <color indexed="36"/>
      <name val="Arial"/>
      <family val="0"/>
    </font>
    <font>
      <sz val="11"/>
      <name val="Arial"/>
      <family val="2"/>
    </font>
    <font>
      <b/>
      <sz val="11"/>
      <name val="Arial"/>
      <family val="2"/>
    </font>
    <font>
      <sz val="8"/>
      <name val="Arial"/>
      <family val="0"/>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0" fillId="0" borderId="0" xfId="0" applyFont="1" applyAlignment="1">
      <alignment/>
    </xf>
    <xf numFmtId="2" fontId="0" fillId="0" borderId="1" xfId="0" applyNumberFormat="1" applyFont="1" applyBorder="1" applyAlignment="1">
      <alignment/>
    </xf>
    <xf numFmtId="2" fontId="0" fillId="0" borderId="2" xfId="0" applyNumberFormat="1" applyFont="1" applyBorder="1" applyAlignment="1">
      <alignment horizontal="right"/>
    </xf>
    <xf numFmtId="2" fontId="0" fillId="0" borderId="1" xfId="0" applyNumberFormat="1" applyFont="1" applyBorder="1" applyAlignment="1">
      <alignment horizontal="right"/>
    </xf>
    <xf numFmtId="0" fontId="0" fillId="0" borderId="2" xfId="0" applyFont="1" applyBorder="1" applyAlignment="1">
      <alignment/>
    </xf>
    <xf numFmtId="0" fontId="0" fillId="0" borderId="0" xfId="0" applyFont="1" applyBorder="1" applyAlignment="1">
      <alignment/>
    </xf>
    <xf numFmtId="0" fontId="1" fillId="0" borderId="0" xfId="0" applyFont="1" applyAlignment="1">
      <alignment horizontal="center"/>
    </xf>
    <xf numFmtId="0" fontId="3" fillId="0" borderId="0" xfId="0" applyFont="1" applyAlignment="1">
      <alignment/>
    </xf>
    <xf numFmtId="0" fontId="2" fillId="0" borderId="0" xfId="0" applyFont="1" applyAlignment="1">
      <alignment/>
    </xf>
    <xf numFmtId="0" fontId="0" fillId="0" borderId="0" xfId="0" applyFont="1" applyAlignment="1">
      <alignment horizontal="centerContinuous"/>
    </xf>
    <xf numFmtId="0" fontId="1" fillId="0" borderId="0" xfId="0" applyFont="1" applyAlignment="1">
      <alignment horizontal="centerContinuous"/>
    </xf>
    <xf numFmtId="0" fontId="0" fillId="0" borderId="0" xfId="0" applyFont="1" applyBorder="1" applyAlignment="1">
      <alignment horizontal="centerContinuous"/>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xf>
    <xf numFmtId="0" fontId="0" fillId="0" borderId="7" xfId="0" applyFont="1" applyBorder="1" applyAlignment="1">
      <alignment/>
    </xf>
    <xf numFmtId="0" fontId="0" fillId="0" borderId="0" xfId="0" applyFont="1" applyBorder="1" applyAlignment="1" quotePrefix="1">
      <alignment horizontal="left"/>
    </xf>
    <xf numFmtId="0" fontId="0" fillId="0" borderId="2"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horizontal="center"/>
    </xf>
    <xf numFmtId="0" fontId="0" fillId="0" borderId="4" xfId="0" applyFont="1" applyBorder="1" applyAlignment="1" quotePrefix="1">
      <alignment horizontal="center"/>
    </xf>
    <xf numFmtId="0" fontId="0" fillId="0" borderId="7" xfId="0" applyFont="1" applyBorder="1" applyAlignment="1" quotePrefix="1">
      <alignment horizontal="center"/>
    </xf>
    <xf numFmtId="2" fontId="0" fillId="0" borderId="1" xfId="0" applyNumberFormat="1" applyFont="1" applyBorder="1" applyAlignment="1">
      <alignment horizontal="left"/>
    </xf>
    <xf numFmtId="2" fontId="0" fillId="0" borderId="0" xfId="0" applyNumberFormat="1" applyFont="1" applyBorder="1" applyAlignment="1">
      <alignment/>
    </xf>
    <xf numFmtId="2" fontId="0" fillId="0" borderId="9" xfId="0" applyNumberFormat="1" applyFont="1" applyBorder="1" applyAlignment="1">
      <alignment/>
    </xf>
    <xf numFmtId="2" fontId="0" fillId="0" borderId="1" xfId="0" applyNumberFormat="1" applyFont="1" applyBorder="1" applyAlignment="1" quotePrefix="1">
      <alignment horizontal="left"/>
    </xf>
    <xf numFmtId="0" fontId="0" fillId="0" borderId="0" xfId="0" applyFont="1" applyBorder="1" applyAlignment="1">
      <alignment horizontal="left"/>
    </xf>
    <xf numFmtId="0" fontId="0" fillId="0" borderId="1" xfId="0" applyFont="1" applyBorder="1" applyAlignment="1" quotePrefix="1">
      <alignment horizontal="left"/>
    </xf>
    <xf numFmtId="0" fontId="1" fillId="0" borderId="0" xfId="0" applyFont="1" applyAlignment="1">
      <alignment horizontal="left"/>
    </xf>
    <xf numFmtId="0" fontId="0" fillId="0" borderId="8" xfId="0" applyFont="1" applyBorder="1" applyAlignment="1">
      <alignment horizontal="center"/>
    </xf>
    <xf numFmtId="0" fontId="0" fillId="0" borderId="3" xfId="0" applyFont="1" applyBorder="1" applyAlignment="1" quotePrefix="1">
      <alignment horizontal="left"/>
    </xf>
    <xf numFmtId="0" fontId="0" fillId="0" borderId="0" xfId="0" applyFont="1" applyAlignment="1" quotePrefix="1">
      <alignment horizontal="center"/>
    </xf>
    <xf numFmtId="0" fontId="0" fillId="0" borderId="0" xfId="0" applyFont="1" applyAlignment="1" quotePrefix="1">
      <alignment horizontal="left"/>
    </xf>
    <xf numFmtId="0" fontId="0" fillId="0" borderId="0" xfId="0" applyFont="1" applyBorder="1" applyAlignment="1">
      <alignment horizontal="left" vertical="top"/>
    </xf>
    <xf numFmtId="0" fontId="0" fillId="0" borderId="7" xfId="0" applyFont="1" applyBorder="1" applyAlignment="1">
      <alignment vertical="top"/>
    </xf>
    <xf numFmtId="2" fontId="0" fillId="0" borderId="0" xfId="0" applyNumberFormat="1" applyFont="1" applyBorder="1" applyAlignment="1">
      <alignment vertical="top"/>
    </xf>
    <xf numFmtId="0" fontId="0" fillId="0" borderId="0" xfId="0" applyFont="1" applyBorder="1" applyAlignment="1">
      <alignment/>
    </xf>
    <xf numFmtId="0" fontId="0" fillId="0" borderId="1" xfId="0" applyFont="1" applyBorder="1" applyAlignment="1">
      <alignment/>
    </xf>
    <xf numFmtId="2" fontId="0" fillId="0" borderId="1" xfId="0" applyNumberFormat="1" applyFont="1" applyBorder="1" applyAlignment="1">
      <alignment/>
    </xf>
    <xf numFmtId="0" fontId="1" fillId="0" borderId="9" xfId="0" applyFont="1" applyBorder="1" applyAlignment="1">
      <alignment/>
    </xf>
    <xf numFmtId="2" fontId="0" fillId="0" borderId="1" xfId="0" applyNumberFormat="1" applyFont="1" applyBorder="1" applyAlignment="1">
      <alignment horizontal="left" vertical="top"/>
    </xf>
    <xf numFmtId="0" fontId="1" fillId="0" borderId="11" xfId="0" applyFont="1" applyBorder="1" applyAlignment="1">
      <alignment horizontal="center"/>
    </xf>
    <xf numFmtId="0" fontId="0" fillId="0" borderId="1" xfId="0" applyFont="1" applyBorder="1" applyAlignment="1">
      <alignment horizontal="center"/>
    </xf>
    <xf numFmtId="0" fontId="1" fillId="0" borderId="9" xfId="0" applyFont="1" applyBorder="1" applyAlignment="1">
      <alignment horizontal="center"/>
    </xf>
    <xf numFmtId="0" fontId="1" fillId="0" borderId="1" xfId="0" applyFont="1" applyBorder="1" applyAlignment="1">
      <alignment horizontal="center"/>
    </xf>
    <xf numFmtId="173" fontId="1" fillId="0" borderId="6" xfId="0" applyNumberFormat="1" applyFont="1" applyBorder="1" applyAlignment="1">
      <alignment horizontal="center"/>
    </xf>
    <xf numFmtId="173" fontId="1" fillId="0" borderId="10" xfId="0" applyNumberFormat="1" applyFont="1" applyBorder="1" applyAlignment="1">
      <alignment horizontal="center"/>
    </xf>
    <xf numFmtId="173" fontId="1" fillId="0" borderId="2" xfId="0" applyNumberFormat="1" applyFont="1" applyBorder="1" applyAlignment="1">
      <alignment horizontal="center"/>
    </xf>
    <xf numFmtId="173" fontId="1" fillId="0" borderId="2" xfId="0" applyNumberFormat="1" applyFont="1" applyBorder="1" applyAlignment="1">
      <alignment horizontal="center" vertical="top"/>
    </xf>
    <xf numFmtId="173" fontId="1" fillId="0" borderId="12" xfId="0" applyNumberFormat="1"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0" fillId="0" borderId="5" xfId="0" applyFont="1" applyBorder="1" applyAlignment="1" quotePrefix="1">
      <alignment horizontal="left"/>
    </xf>
    <xf numFmtId="0" fontId="0" fillId="0" borderId="1" xfId="0" applyFont="1" applyBorder="1" applyAlignment="1">
      <alignment horizontal="left"/>
    </xf>
    <xf numFmtId="0" fontId="0" fillId="0" borderId="1" xfId="0" applyFont="1" applyBorder="1" applyAlignment="1">
      <alignment horizontal="left" vertical="top"/>
    </xf>
    <xf numFmtId="173" fontId="1" fillId="0" borderId="7" xfId="0" applyNumberFormat="1" applyFont="1" applyBorder="1" applyAlignment="1">
      <alignment horizontal="center"/>
    </xf>
    <xf numFmtId="0" fontId="1" fillId="0" borderId="7" xfId="0" applyFont="1" applyBorder="1" applyAlignment="1">
      <alignment/>
    </xf>
    <xf numFmtId="0" fontId="1" fillId="0" borderId="3" xfId="0" applyFont="1" applyBorder="1" applyAlignment="1">
      <alignment/>
    </xf>
    <xf numFmtId="0" fontId="2" fillId="0" borderId="7" xfId="0" applyFont="1" applyBorder="1" applyAlignment="1">
      <alignment horizontal="center"/>
    </xf>
    <xf numFmtId="0" fontId="0" fillId="0" borderId="4" xfId="0" applyFont="1" applyBorder="1" applyAlignment="1">
      <alignment horizontal="center"/>
    </xf>
    <xf numFmtId="2" fontId="1" fillId="0" borderId="0" xfId="0" applyNumberFormat="1" applyFont="1" applyBorder="1" applyAlignment="1">
      <alignment horizontal="center"/>
    </xf>
    <xf numFmtId="2" fontId="1" fillId="0" borderId="0" xfId="0" applyNumberFormat="1" applyFont="1" applyBorder="1" applyAlignment="1" quotePrefix="1">
      <alignment horizontal="center"/>
    </xf>
    <xf numFmtId="2" fontId="1" fillId="0" borderId="0" xfId="0" applyNumberFormat="1" applyFont="1" applyBorder="1" applyAlignment="1" quotePrefix="1">
      <alignment horizontal="center" vertical="top"/>
    </xf>
    <xf numFmtId="173" fontId="1" fillId="0" borderId="8" xfId="0" applyNumberFormat="1" applyFont="1" applyBorder="1" applyAlignment="1">
      <alignment horizontal="center"/>
    </xf>
    <xf numFmtId="173" fontId="1" fillId="0" borderId="7" xfId="0" applyNumberFormat="1" applyFont="1" applyBorder="1" applyAlignment="1">
      <alignment horizontal="center" vertical="top"/>
    </xf>
    <xf numFmtId="0" fontId="0" fillId="0" borderId="0" xfId="0" applyFont="1" applyBorder="1" applyAlignment="1" quotePrefix="1">
      <alignment horizontal="center"/>
    </xf>
    <xf numFmtId="10" fontId="0" fillId="0" borderId="10" xfId="0" applyNumberFormat="1" applyFont="1" applyBorder="1" applyAlignment="1" quotePrefix="1">
      <alignment horizontal="right"/>
    </xf>
    <xf numFmtId="2" fontId="0" fillId="0" borderId="0" xfId="0" applyNumberFormat="1" applyFont="1" applyBorder="1" applyAlignment="1">
      <alignment/>
    </xf>
    <xf numFmtId="0" fontId="0" fillId="0" borderId="2" xfId="0" applyFont="1" applyBorder="1" applyAlignment="1">
      <alignment/>
    </xf>
    <xf numFmtId="173" fontId="0" fillId="0" borderId="2" xfId="0" applyNumberFormat="1" applyFont="1" applyBorder="1" applyAlignment="1">
      <alignment horizontal="center"/>
    </xf>
    <xf numFmtId="0" fontId="1" fillId="0" borderId="2" xfId="0" applyFont="1" applyBorder="1" applyAlignment="1">
      <alignment/>
    </xf>
    <xf numFmtId="0" fontId="1" fillId="0" borderId="10" xfId="0" applyFont="1" applyBorder="1" applyAlignment="1">
      <alignment/>
    </xf>
    <xf numFmtId="173" fontId="1" fillId="0" borderId="11" xfId="0" applyNumberFormat="1" applyFont="1" applyBorder="1" applyAlignment="1">
      <alignment horizontal="center"/>
    </xf>
    <xf numFmtId="2" fontId="0" fillId="0" borderId="0" xfId="0" applyNumberFormat="1" applyFont="1" applyBorder="1" applyAlignment="1">
      <alignment horizontal="left"/>
    </xf>
    <xf numFmtId="0" fontId="0" fillId="0" borderId="0" xfId="0" applyFont="1" applyBorder="1" applyAlignment="1">
      <alignment horizontal="center"/>
    </xf>
    <xf numFmtId="0" fontId="0" fillId="0" borderId="11" xfId="0" applyFont="1" applyBorder="1" applyAlignment="1">
      <alignment horizontal="center"/>
    </xf>
    <xf numFmtId="2" fontId="0" fillId="0" borderId="9" xfId="0" applyNumberFormat="1" applyFont="1" applyBorder="1" applyAlignment="1">
      <alignment horizontal="left"/>
    </xf>
    <xf numFmtId="173" fontId="6" fillId="0" borderId="11" xfId="15" applyNumberFormat="1" applyFont="1" applyBorder="1" applyAlignment="1">
      <alignment/>
    </xf>
    <xf numFmtId="173" fontId="6" fillId="0" borderId="4" xfId="15" applyNumberFormat="1" applyFont="1" applyBorder="1" applyAlignment="1">
      <alignment/>
    </xf>
    <xf numFmtId="173" fontId="7" fillId="0" borderId="2" xfId="0" applyNumberFormat="1" applyFont="1" applyBorder="1" applyAlignment="1">
      <alignment horizontal="center"/>
    </xf>
    <xf numFmtId="173" fontId="6" fillId="0" borderId="10" xfId="15" applyNumberFormat="1" applyFont="1" applyBorder="1" applyAlignment="1">
      <alignment/>
    </xf>
    <xf numFmtId="173" fontId="6" fillId="0" borderId="8" xfId="15" applyNumberFormat="1" applyFont="1" applyBorder="1" applyAlignment="1">
      <alignment/>
    </xf>
    <xf numFmtId="173" fontId="7" fillId="0" borderId="10" xfId="0" applyNumberFormat="1" applyFont="1" applyBorder="1" applyAlignment="1">
      <alignment horizontal="center"/>
    </xf>
    <xf numFmtId="173" fontId="6" fillId="0" borderId="2" xfId="15" applyNumberFormat="1" applyFont="1" applyBorder="1" applyAlignment="1">
      <alignment/>
    </xf>
    <xf numFmtId="173" fontId="6" fillId="0" borderId="1" xfId="15" applyNumberFormat="1" applyFont="1" applyBorder="1" applyAlignment="1">
      <alignment/>
    </xf>
    <xf numFmtId="173" fontId="6" fillId="0" borderId="2" xfId="0" applyNumberFormat="1" applyFont="1" applyBorder="1" applyAlignment="1">
      <alignment/>
    </xf>
    <xf numFmtId="173" fontId="6" fillId="0" borderId="1" xfId="15" applyNumberFormat="1" applyFont="1" applyBorder="1" applyAlignment="1">
      <alignment/>
    </xf>
    <xf numFmtId="173" fontId="6" fillId="0" borderId="2" xfId="0" applyNumberFormat="1" applyFont="1" applyBorder="1" applyAlignment="1">
      <alignment vertical="top"/>
    </xf>
    <xf numFmtId="173" fontId="7" fillId="0" borderId="2" xfId="0" applyNumberFormat="1" applyFont="1" applyBorder="1" applyAlignment="1">
      <alignment horizontal="center" vertical="top"/>
    </xf>
    <xf numFmtId="173" fontId="6" fillId="0" borderId="1" xfId="15" applyNumberFormat="1" applyFont="1" applyBorder="1" applyAlignment="1">
      <alignment horizontal="right" vertical="top"/>
    </xf>
    <xf numFmtId="173" fontId="7" fillId="0" borderId="2" xfId="0" applyNumberFormat="1" applyFont="1" applyBorder="1" applyAlignment="1">
      <alignment horizontal="center" vertical="justify"/>
    </xf>
    <xf numFmtId="43" fontId="6" fillId="0" borderId="1" xfId="15" applyFont="1" applyBorder="1" applyAlignment="1">
      <alignment/>
    </xf>
    <xf numFmtId="43" fontId="6" fillId="0" borderId="1" xfId="15" applyFont="1" applyBorder="1" applyAlignment="1">
      <alignment/>
    </xf>
    <xf numFmtId="173" fontId="6" fillId="0" borderId="2" xfId="15" applyNumberFormat="1" applyFont="1" applyBorder="1" applyAlignment="1">
      <alignment/>
    </xf>
    <xf numFmtId="173" fontId="6" fillId="0" borderId="2" xfId="0" applyNumberFormat="1" applyFont="1" applyBorder="1" applyAlignment="1">
      <alignment horizontal="right"/>
    </xf>
    <xf numFmtId="173" fontId="6" fillId="0" borderId="1" xfId="0" applyNumberFormat="1" applyFont="1" applyBorder="1" applyAlignment="1">
      <alignment horizontal="right"/>
    </xf>
    <xf numFmtId="173" fontId="6" fillId="0" borderId="2" xfId="0" applyNumberFormat="1" applyFont="1" applyBorder="1" applyAlignment="1">
      <alignment/>
    </xf>
    <xf numFmtId="173" fontId="6" fillId="0" borderId="1" xfId="0" applyNumberFormat="1" applyFont="1" applyBorder="1" applyAlignment="1">
      <alignment/>
    </xf>
    <xf numFmtId="2" fontId="6" fillId="0" borderId="2" xfId="0" applyNumberFormat="1" applyFont="1" applyBorder="1" applyAlignment="1">
      <alignment vertical="top"/>
    </xf>
    <xf numFmtId="2" fontId="6" fillId="0" borderId="1" xfId="0" applyNumberFormat="1" applyFont="1" applyBorder="1" applyAlignment="1">
      <alignment/>
    </xf>
    <xf numFmtId="2" fontId="6" fillId="0" borderId="2" xfId="0" applyNumberFormat="1" applyFont="1" applyBorder="1" applyAlignment="1">
      <alignment horizontal="right"/>
    </xf>
    <xf numFmtId="2" fontId="6" fillId="0" borderId="1" xfId="0" applyNumberFormat="1" applyFont="1" applyBorder="1" applyAlignment="1">
      <alignment horizontal="right"/>
    </xf>
    <xf numFmtId="10" fontId="6" fillId="0" borderId="2" xfId="0" applyNumberFormat="1" applyFont="1" applyBorder="1" applyAlignment="1" quotePrefix="1">
      <alignment horizontal="right"/>
    </xf>
    <xf numFmtId="10" fontId="6" fillId="0" borderId="1" xfId="0" applyNumberFormat="1" applyFont="1" applyBorder="1" applyAlignment="1" quotePrefix="1">
      <alignment horizontal="right"/>
    </xf>
    <xf numFmtId="10" fontId="6" fillId="0" borderId="2" xfId="0" applyNumberFormat="1" applyFont="1" applyBorder="1" applyAlignment="1">
      <alignment/>
    </xf>
    <xf numFmtId="10" fontId="6" fillId="0" borderId="0" xfId="0" applyNumberFormat="1" applyFont="1" applyBorder="1" applyAlignment="1">
      <alignment/>
    </xf>
    <xf numFmtId="10" fontId="7" fillId="0" borderId="2" xfId="0" applyNumberFormat="1" applyFont="1" applyBorder="1" applyAlignment="1">
      <alignment horizontal="center"/>
    </xf>
    <xf numFmtId="2" fontId="6" fillId="0" borderId="2" xfId="0" applyNumberFormat="1" applyFont="1" applyBorder="1" applyAlignment="1">
      <alignment/>
    </xf>
    <xf numFmtId="0" fontId="6" fillId="0" borderId="7" xfId="0" applyFont="1" applyBorder="1" applyAlignment="1">
      <alignment/>
    </xf>
    <xf numFmtId="0" fontId="7" fillId="0" borderId="7" xfId="0" applyFont="1" applyBorder="1" applyAlignment="1">
      <alignment horizontal="center"/>
    </xf>
    <xf numFmtId="2" fontId="6" fillId="0" borderId="2" xfId="0" applyNumberFormat="1" applyFont="1" applyBorder="1" applyAlignment="1">
      <alignment/>
    </xf>
    <xf numFmtId="2" fontId="6" fillId="0" borderId="7" xfId="0" applyNumberFormat="1" applyFont="1" applyBorder="1" applyAlignment="1">
      <alignment/>
    </xf>
    <xf numFmtId="43" fontId="6" fillId="0" borderId="2" xfId="15" applyFont="1" applyBorder="1" applyAlignment="1">
      <alignment/>
    </xf>
    <xf numFmtId="43" fontId="6" fillId="0" borderId="2" xfId="15" applyFont="1" applyBorder="1" applyAlignment="1">
      <alignment horizontal="right"/>
    </xf>
    <xf numFmtId="2" fontId="6" fillId="0" borderId="10" xfId="0" applyNumberFormat="1" applyFont="1" applyBorder="1" applyAlignment="1">
      <alignment/>
    </xf>
    <xf numFmtId="2" fontId="6" fillId="0" borderId="13" xfId="0" applyNumberFormat="1" applyFont="1" applyBorder="1" applyAlignment="1">
      <alignment/>
    </xf>
    <xf numFmtId="173" fontId="7" fillId="0" borderId="12" xfId="0" applyNumberFormat="1" applyFont="1" applyBorder="1" applyAlignment="1">
      <alignment horizontal="center"/>
    </xf>
    <xf numFmtId="2" fontId="7" fillId="0" borderId="2" xfId="0" applyNumberFormat="1" applyFont="1" applyBorder="1" applyAlignment="1">
      <alignment horizontal="center"/>
    </xf>
    <xf numFmtId="2" fontId="7" fillId="0" borderId="2" xfId="0" applyNumberFormat="1" applyFont="1" applyBorder="1" applyAlignment="1">
      <alignment horizontal="center" vertical="top"/>
    </xf>
    <xf numFmtId="0" fontId="6" fillId="0" borderId="2" xfId="0" applyNumberFormat="1" applyFont="1" applyBorder="1" applyAlignment="1">
      <alignment/>
    </xf>
    <xf numFmtId="173" fontId="6" fillId="0" borderId="10" xfId="0" applyNumberFormat="1" applyFont="1" applyBorder="1" applyAlignment="1">
      <alignment/>
    </xf>
    <xf numFmtId="43" fontId="6" fillId="0" borderId="7" xfId="15" applyFont="1" applyBorder="1" applyAlignment="1">
      <alignment/>
    </xf>
    <xf numFmtId="2" fontId="6" fillId="0" borderId="0" xfId="0" applyNumberFormat="1" applyFont="1" applyBorder="1" applyAlignment="1">
      <alignment/>
    </xf>
    <xf numFmtId="173" fontId="7" fillId="0" borderId="7" xfId="0" applyNumberFormat="1" applyFont="1" applyBorder="1" applyAlignment="1">
      <alignment horizontal="center"/>
    </xf>
    <xf numFmtId="2" fontId="6" fillId="0" borderId="7" xfId="0" applyNumberFormat="1" applyFont="1" applyBorder="1" applyAlignment="1">
      <alignment vertical="top"/>
    </xf>
    <xf numFmtId="173" fontId="7" fillId="0" borderId="7" xfId="0" applyNumberFormat="1" applyFont="1" applyBorder="1" applyAlignment="1">
      <alignment horizontal="center" vertical="top"/>
    </xf>
    <xf numFmtId="43" fontId="6" fillId="0" borderId="2" xfId="15" applyFont="1" applyBorder="1" applyAlignment="1">
      <alignment/>
    </xf>
    <xf numFmtId="43" fontId="6" fillId="0" borderId="0" xfId="15" applyFont="1" applyBorder="1" applyAlignment="1">
      <alignment/>
    </xf>
    <xf numFmtId="2" fontId="6" fillId="0" borderId="12" xfId="0" applyNumberFormat="1" applyFont="1" applyBorder="1" applyAlignment="1">
      <alignment/>
    </xf>
    <xf numFmtId="0" fontId="6" fillId="0" borderId="2" xfId="0" applyFont="1" applyBorder="1" applyAlignment="1" quotePrefix="1">
      <alignment/>
    </xf>
    <xf numFmtId="0" fontId="6" fillId="0" borderId="7" xfId="0" applyFont="1" applyBorder="1" applyAlignment="1" quotePrefix="1">
      <alignment horizontal="right"/>
    </xf>
    <xf numFmtId="43" fontId="6" fillId="0" borderId="1" xfId="15" applyFont="1" applyBorder="1" applyAlignment="1" quotePrefix="1">
      <alignment horizontal="right"/>
    </xf>
    <xf numFmtId="43" fontId="6" fillId="0" borderId="2" xfId="15" applyFont="1" applyBorder="1" applyAlignment="1" quotePrefix="1">
      <alignment horizontal="right"/>
    </xf>
    <xf numFmtId="43" fontId="6" fillId="0" borderId="0" xfId="15" applyFont="1" applyBorder="1" applyAlignment="1" quotePrefix="1">
      <alignment horizontal="right"/>
    </xf>
    <xf numFmtId="43" fontId="6" fillId="0" borderId="2" xfId="15" applyFont="1" applyBorder="1" applyAlignment="1" quotePrefix="1">
      <alignment horizontal="left"/>
    </xf>
    <xf numFmtId="43" fontId="6" fillId="0" borderId="7" xfId="15" applyFont="1" applyBorder="1" applyAlignment="1" quotePrefix="1">
      <alignment horizontal="right"/>
    </xf>
    <xf numFmtId="0" fontId="6" fillId="0" borderId="10" xfId="0" applyFont="1" applyBorder="1" applyAlignment="1">
      <alignment/>
    </xf>
    <xf numFmtId="2" fontId="6" fillId="0" borderId="11" xfId="0" applyNumberFormat="1" applyFont="1" applyBorder="1" applyAlignment="1" quotePrefix="1">
      <alignment horizontal="right"/>
    </xf>
    <xf numFmtId="2" fontId="6" fillId="0" borderId="4" xfId="0" applyNumberFormat="1" applyFont="1" applyBorder="1" applyAlignment="1" quotePrefix="1">
      <alignment horizontal="right"/>
    </xf>
    <xf numFmtId="0" fontId="6" fillId="0" borderId="5" xfId="0" applyFont="1" applyBorder="1" applyAlignment="1">
      <alignment/>
    </xf>
    <xf numFmtId="0" fontId="6" fillId="0" borderId="6" xfId="0" applyFont="1" applyBorder="1" applyAlignment="1">
      <alignment/>
    </xf>
    <xf numFmtId="0" fontId="6" fillId="0" borderId="0" xfId="0" applyFont="1" applyBorder="1" applyAlignment="1">
      <alignment/>
    </xf>
    <xf numFmtId="0" fontId="6" fillId="0" borderId="1" xfId="0" applyFont="1" applyBorder="1" applyAlignment="1">
      <alignment vertical="top"/>
    </xf>
    <xf numFmtId="0" fontId="6" fillId="0" borderId="3" xfId="0" applyFont="1" applyBorder="1" applyAlignment="1">
      <alignment/>
    </xf>
    <xf numFmtId="0" fontId="6" fillId="0" borderId="9" xfId="0" applyFont="1" applyBorder="1" applyAlignment="1">
      <alignment vertical="top"/>
    </xf>
    <xf numFmtId="0" fontId="6" fillId="0" borderId="0" xfId="0" applyFont="1" applyAlignment="1">
      <alignment/>
    </xf>
    <xf numFmtId="0" fontId="6" fillId="0" borderId="0" xfId="0" applyFont="1" applyBorder="1" applyAlignment="1">
      <alignment vertical="top"/>
    </xf>
    <xf numFmtId="43" fontId="6" fillId="0" borderId="10" xfId="15" applyFont="1" applyBorder="1" applyAlignment="1">
      <alignment/>
    </xf>
    <xf numFmtId="2" fontId="6" fillId="0" borderId="4" xfId="0" applyNumberFormat="1" applyFont="1" applyBorder="1" applyAlignment="1">
      <alignment/>
    </xf>
    <xf numFmtId="2" fontId="6" fillId="0" borderId="11" xfId="0" applyNumberFormat="1" applyFont="1" applyBorder="1" applyAlignment="1">
      <alignment/>
    </xf>
    <xf numFmtId="173" fontId="7" fillId="0" borderId="11" xfId="0" applyNumberFormat="1" applyFont="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B68"/>
  <sheetViews>
    <sheetView tabSelected="1" workbookViewId="0" topLeftCell="B1">
      <selection activeCell="D75" sqref="D75"/>
    </sheetView>
  </sheetViews>
  <sheetFormatPr defaultColWidth="9.140625" defaultRowHeight="16.5" customHeight="1"/>
  <cols>
    <col min="1" max="1" width="0.85546875" style="1" customWidth="1"/>
    <col min="2" max="2" width="3.57421875" style="1" bestFit="1" customWidth="1"/>
    <col min="3" max="3" width="3.57421875" style="1" customWidth="1"/>
    <col min="4" max="4" width="38.140625" style="1" customWidth="1"/>
    <col min="5" max="5" width="10.8515625" style="1" hidden="1" customWidth="1"/>
    <col min="6" max="6" width="10.7109375" style="1" bestFit="1" customWidth="1"/>
    <col min="7" max="7" width="14.00390625" style="1" bestFit="1" customWidth="1"/>
    <col min="8" max="8" width="14.140625" style="1" bestFit="1" customWidth="1"/>
    <col min="9" max="9" width="14.00390625" style="1" bestFit="1" customWidth="1"/>
    <col min="10" max="10" width="13.8515625" style="1" hidden="1" customWidth="1"/>
    <col min="11" max="11" width="12.7109375" style="1" bestFit="1" customWidth="1"/>
    <col min="12" max="12" width="1.7109375" style="1" customWidth="1"/>
    <col min="13" max="13" width="2.8515625" style="1" bestFit="1" customWidth="1"/>
    <col min="14" max="14" width="38.00390625" style="1" customWidth="1"/>
    <col min="15" max="15" width="10.8515625" style="1" hidden="1" customWidth="1"/>
    <col min="16" max="16" width="10.140625" style="1" bestFit="1" customWidth="1"/>
    <col min="17" max="17" width="14.00390625" style="1" bestFit="1" customWidth="1"/>
    <col min="18" max="18" width="14.140625" style="1" bestFit="1" customWidth="1"/>
    <col min="19" max="19" width="13.28125" style="1" bestFit="1" customWidth="1"/>
    <col min="20" max="20" width="11.7109375" style="1" hidden="1" customWidth="1"/>
    <col min="21" max="21" width="12.7109375" style="1" bestFit="1" customWidth="1"/>
    <col min="22" max="22" width="0.85546875" style="1" customWidth="1"/>
    <col min="23" max="23" width="5.421875" style="1" customWidth="1"/>
    <col min="24" max="16384" width="9.140625" style="1" customWidth="1"/>
  </cols>
  <sheetData>
    <row r="1" spans="4:21" ht="11.25" customHeight="1">
      <c r="D1" s="7"/>
      <c r="E1" s="7"/>
      <c r="F1" s="8"/>
      <c r="G1" s="8"/>
      <c r="H1" s="8"/>
      <c r="I1" s="8"/>
      <c r="J1" s="8"/>
      <c r="L1" s="9"/>
      <c r="N1" s="7"/>
      <c r="O1" s="10"/>
      <c r="P1" s="10"/>
      <c r="Q1" s="10"/>
      <c r="R1" s="10"/>
      <c r="S1" s="10"/>
      <c r="T1" s="10"/>
      <c r="U1" s="10"/>
    </row>
    <row r="2" spans="2:21" ht="16.5" customHeight="1">
      <c r="B2" s="157" t="s">
        <v>52</v>
      </c>
      <c r="C2" s="157"/>
      <c r="D2" s="157"/>
      <c r="E2" s="157"/>
      <c r="F2" s="157"/>
      <c r="G2" s="157"/>
      <c r="H2" s="157"/>
      <c r="I2" s="157"/>
      <c r="J2" s="157"/>
      <c r="K2" s="157"/>
      <c r="M2" s="158" t="s">
        <v>72</v>
      </c>
      <c r="N2" s="158"/>
      <c r="O2" s="158"/>
      <c r="P2" s="158"/>
      <c r="Q2" s="158"/>
      <c r="R2" s="158"/>
      <c r="S2" s="158"/>
      <c r="T2" s="158"/>
      <c r="U2" s="158"/>
    </row>
    <row r="3" spans="2:21" ht="16.5" customHeight="1">
      <c r="B3" s="11" t="s">
        <v>108</v>
      </c>
      <c r="C3" s="11"/>
      <c r="D3" s="10"/>
      <c r="E3" s="10"/>
      <c r="F3" s="10"/>
      <c r="G3" s="10"/>
      <c r="H3" s="10"/>
      <c r="I3" s="10"/>
      <c r="J3" s="10"/>
      <c r="K3" s="10"/>
      <c r="M3" s="10" t="s">
        <v>30</v>
      </c>
      <c r="N3" s="10"/>
      <c r="O3" s="10"/>
      <c r="P3" s="10"/>
      <c r="Q3" s="10"/>
      <c r="R3" s="10"/>
      <c r="S3" s="10"/>
      <c r="T3" s="10"/>
      <c r="U3" s="10"/>
    </row>
    <row r="4" spans="2:21" ht="16.5" customHeight="1">
      <c r="B4" s="11" t="s">
        <v>109</v>
      </c>
      <c r="C4" s="10"/>
      <c r="D4" s="10"/>
      <c r="E4" s="10"/>
      <c r="F4" s="10"/>
      <c r="G4" s="10"/>
      <c r="H4" s="10"/>
      <c r="I4" s="10"/>
      <c r="J4" s="10"/>
      <c r="K4" s="10"/>
      <c r="M4" s="12" t="s">
        <v>110</v>
      </c>
      <c r="N4" s="10"/>
      <c r="O4" s="10"/>
      <c r="P4" s="10"/>
      <c r="Q4" s="10"/>
      <c r="R4" s="10"/>
      <c r="S4" s="10"/>
      <c r="T4" s="10"/>
      <c r="U4" s="10"/>
    </row>
    <row r="5" spans="2:21" ht="11.25" customHeight="1">
      <c r="B5" s="11"/>
      <c r="C5" s="10"/>
      <c r="D5" s="10"/>
      <c r="E5" s="10"/>
      <c r="F5" s="10"/>
      <c r="G5" s="10"/>
      <c r="H5" s="10"/>
      <c r="I5" s="10"/>
      <c r="J5" s="10"/>
      <c r="K5" s="10"/>
      <c r="M5" s="12"/>
      <c r="N5" s="10"/>
      <c r="O5" s="10"/>
      <c r="P5" s="10"/>
      <c r="Q5" s="10"/>
      <c r="R5" s="10"/>
      <c r="S5" s="10"/>
      <c r="T5" s="10"/>
      <c r="U5" s="10"/>
    </row>
    <row r="6" spans="2:21" ht="16.5" customHeight="1">
      <c r="B6" s="13"/>
      <c r="C6" s="13"/>
      <c r="D6" s="13"/>
      <c r="E6" s="13"/>
      <c r="F6" s="13"/>
      <c r="G6" s="13"/>
      <c r="H6" s="13"/>
      <c r="I6" s="13"/>
      <c r="J6" s="13"/>
      <c r="K6" s="13" t="s">
        <v>79</v>
      </c>
      <c r="L6" s="6"/>
      <c r="M6" s="13"/>
      <c r="N6" s="13"/>
      <c r="O6" s="13"/>
      <c r="P6" s="13"/>
      <c r="Q6" s="13"/>
      <c r="R6" s="13"/>
      <c r="S6" s="13"/>
      <c r="T6" s="13"/>
      <c r="U6" s="13" t="s">
        <v>79</v>
      </c>
    </row>
    <row r="7" spans="2:21" ht="16.5" customHeight="1">
      <c r="B7" s="18"/>
      <c r="C7" s="6"/>
      <c r="D7" s="6"/>
      <c r="E7" s="46" t="s">
        <v>95</v>
      </c>
      <c r="F7" s="21"/>
      <c r="G7" s="81"/>
      <c r="H7" s="21" t="s">
        <v>33</v>
      </c>
      <c r="I7" s="21"/>
      <c r="J7" s="46" t="s">
        <v>95</v>
      </c>
      <c r="K7" s="20" t="s">
        <v>78</v>
      </c>
      <c r="L7" s="17"/>
      <c r="N7" s="17"/>
      <c r="O7" s="49" t="s">
        <v>95</v>
      </c>
      <c r="P7" s="21"/>
      <c r="Q7" s="81"/>
      <c r="R7" s="21" t="s">
        <v>33</v>
      </c>
      <c r="S7" s="21"/>
      <c r="T7" s="46" t="s">
        <v>95</v>
      </c>
      <c r="U7" s="20" t="s">
        <v>78</v>
      </c>
    </row>
    <row r="8" spans="2:21" ht="16.5" customHeight="1">
      <c r="B8" s="18"/>
      <c r="C8" s="6"/>
      <c r="D8" s="57"/>
      <c r="E8" s="20" t="s">
        <v>96</v>
      </c>
      <c r="F8" s="20"/>
      <c r="G8" s="20"/>
      <c r="H8" s="21" t="s">
        <v>34</v>
      </c>
      <c r="I8" s="20" t="s">
        <v>38</v>
      </c>
      <c r="J8" s="20" t="s">
        <v>96</v>
      </c>
      <c r="K8" s="20" t="s">
        <v>38</v>
      </c>
      <c r="L8" s="17"/>
      <c r="N8" s="17"/>
      <c r="O8" s="20" t="s">
        <v>96</v>
      </c>
      <c r="P8" s="20"/>
      <c r="Q8" s="20"/>
      <c r="R8" s="21" t="s">
        <v>34</v>
      </c>
      <c r="S8" s="20" t="s">
        <v>38</v>
      </c>
      <c r="T8" s="20" t="s">
        <v>96</v>
      </c>
      <c r="U8" s="20" t="s">
        <v>38</v>
      </c>
    </row>
    <row r="9" spans="2:21" ht="16.5" customHeight="1">
      <c r="B9" s="18"/>
      <c r="C9" s="6"/>
      <c r="D9" s="49"/>
      <c r="E9" s="47" t="s">
        <v>63</v>
      </c>
      <c r="F9" s="20" t="s">
        <v>98</v>
      </c>
      <c r="G9" s="20" t="s">
        <v>32</v>
      </c>
      <c r="H9" s="21" t="s">
        <v>35</v>
      </c>
      <c r="I9" s="20" t="s">
        <v>39</v>
      </c>
      <c r="J9" s="20" t="s">
        <v>63</v>
      </c>
      <c r="K9" s="20" t="s">
        <v>39</v>
      </c>
      <c r="L9" s="17"/>
      <c r="M9" s="18"/>
      <c r="N9" s="17"/>
      <c r="O9" s="47" t="s">
        <v>63</v>
      </c>
      <c r="P9" s="20" t="s">
        <v>98</v>
      </c>
      <c r="Q9" s="20" t="s">
        <v>32</v>
      </c>
      <c r="R9" s="21" t="s">
        <v>35</v>
      </c>
      <c r="S9" s="20" t="s">
        <v>39</v>
      </c>
      <c r="T9" s="20" t="s">
        <v>63</v>
      </c>
      <c r="U9" s="20" t="s">
        <v>39</v>
      </c>
    </row>
    <row r="10" spans="2:22" ht="16.5" customHeight="1">
      <c r="B10" s="18"/>
      <c r="C10" s="6"/>
      <c r="D10" s="17"/>
      <c r="E10" s="47" t="s">
        <v>64</v>
      </c>
      <c r="F10" s="21" t="s">
        <v>25</v>
      </c>
      <c r="G10" s="21" t="s">
        <v>25</v>
      </c>
      <c r="H10" s="21" t="s">
        <v>25</v>
      </c>
      <c r="I10" s="20" t="s">
        <v>113</v>
      </c>
      <c r="J10" s="20" t="s">
        <v>64</v>
      </c>
      <c r="K10" s="20" t="s">
        <v>86</v>
      </c>
      <c r="L10" s="6"/>
      <c r="M10" s="18"/>
      <c r="N10" s="17"/>
      <c r="O10" s="47" t="s">
        <v>64</v>
      </c>
      <c r="P10" s="21" t="s">
        <v>25</v>
      </c>
      <c r="Q10" s="21" t="s">
        <v>25</v>
      </c>
      <c r="R10" s="21" t="s">
        <v>25</v>
      </c>
      <c r="S10" s="20" t="s">
        <v>113</v>
      </c>
      <c r="T10" s="20" t="s">
        <v>64</v>
      </c>
      <c r="U10" s="20" t="s">
        <v>86</v>
      </c>
      <c r="V10" s="18"/>
    </row>
    <row r="11" spans="2:22" ht="16.5" customHeight="1">
      <c r="B11" s="22"/>
      <c r="C11" s="13"/>
      <c r="D11" s="44"/>
      <c r="E11" s="48" t="s">
        <v>65</v>
      </c>
      <c r="F11" s="24" t="s">
        <v>97</v>
      </c>
      <c r="G11" s="24" t="s">
        <v>111</v>
      </c>
      <c r="H11" s="24" t="s">
        <v>112</v>
      </c>
      <c r="I11" s="24" t="s">
        <v>36</v>
      </c>
      <c r="J11" s="56" t="s">
        <v>115</v>
      </c>
      <c r="K11" s="24" t="s">
        <v>36</v>
      </c>
      <c r="L11" s="17"/>
      <c r="M11" s="22"/>
      <c r="N11" s="23"/>
      <c r="O11" s="48" t="s">
        <v>65</v>
      </c>
      <c r="P11" s="24" t="s">
        <v>97</v>
      </c>
      <c r="Q11" s="24" t="s">
        <v>111</v>
      </c>
      <c r="R11" s="24" t="s">
        <v>112</v>
      </c>
      <c r="S11" s="24" t="s">
        <v>36</v>
      </c>
      <c r="T11" s="56" t="s">
        <v>115</v>
      </c>
      <c r="U11" s="24" t="s">
        <v>36</v>
      </c>
      <c r="V11" s="18"/>
    </row>
    <row r="12" spans="2:22" ht="16.5" customHeight="1">
      <c r="B12" s="25" t="s">
        <v>3</v>
      </c>
      <c r="C12" s="15" t="s">
        <v>71</v>
      </c>
      <c r="D12" s="16"/>
      <c r="E12" s="50">
        <f aca="true" t="shared" si="0" ref="E12:E24">ROUND(G12/H12*100-100,2)</f>
        <v>21.25</v>
      </c>
      <c r="F12" s="83">
        <f>2529.54+0.01</f>
        <v>2529.55</v>
      </c>
      <c r="G12" s="84">
        <f>I12-F12</f>
        <v>976.7600000000002</v>
      </c>
      <c r="H12" s="83">
        <f>2578.27+384.1-2156.77</f>
        <v>805.5999999999999</v>
      </c>
      <c r="I12" s="84">
        <f>3506.8-0.49</f>
        <v>3506.3100000000004</v>
      </c>
      <c r="J12" s="85">
        <f aca="true" t="shared" si="1" ref="J12:J24">ROUND(I12/K12*100-100,2)</f>
        <v>18.36</v>
      </c>
      <c r="K12" s="83">
        <f>2578.27+384.1</f>
        <v>2962.37</v>
      </c>
      <c r="L12" s="17"/>
      <c r="M12" s="25" t="s">
        <v>3</v>
      </c>
      <c r="N12" s="15" t="s">
        <v>42</v>
      </c>
      <c r="O12" s="46"/>
      <c r="P12" s="14"/>
      <c r="Q12" s="14"/>
      <c r="R12" s="14"/>
      <c r="S12" s="14"/>
      <c r="T12" s="55"/>
      <c r="U12" s="14"/>
      <c r="V12" s="18"/>
    </row>
    <row r="13" spans="2:22" ht="16.5" customHeight="1">
      <c r="B13" s="26" t="s">
        <v>4</v>
      </c>
      <c r="C13" s="1" t="s">
        <v>70</v>
      </c>
      <c r="E13" s="51">
        <f t="shared" si="0"/>
        <v>1.6</v>
      </c>
      <c r="F13" s="86">
        <v>264.99</v>
      </c>
      <c r="G13" s="87">
        <f>I13-F13</f>
        <v>101.15999999999997</v>
      </c>
      <c r="H13" s="86">
        <f>375.9+8.2-284.53</f>
        <v>99.57</v>
      </c>
      <c r="I13" s="87">
        <v>366.15</v>
      </c>
      <c r="J13" s="88">
        <f t="shared" si="1"/>
        <v>-4.67</v>
      </c>
      <c r="K13" s="86">
        <f>375.9+8.2</f>
        <v>384.09999999999997</v>
      </c>
      <c r="L13" s="5"/>
      <c r="M13" s="26"/>
      <c r="N13" s="2" t="s">
        <v>69</v>
      </c>
      <c r="O13" s="7"/>
      <c r="P13" s="114"/>
      <c r="Q13" s="114"/>
      <c r="R13" s="114"/>
      <c r="S13" s="114"/>
      <c r="T13" s="115"/>
      <c r="U13" s="114"/>
      <c r="V13" s="18"/>
    </row>
    <row r="14" spans="2:22" ht="16.5" customHeight="1">
      <c r="B14" s="26" t="s">
        <v>5</v>
      </c>
      <c r="C14" s="1" t="s">
        <v>67</v>
      </c>
      <c r="E14" s="52">
        <f t="shared" si="0"/>
        <v>24.02</v>
      </c>
      <c r="F14" s="89">
        <f>SUM(F12-F13)</f>
        <v>2264.5600000000004</v>
      </c>
      <c r="G14" s="89">
        <f>SUM(G12-G13)</f>
        <v>875.6000000000003</v>
      </c>
      <c r="H14" s="89">
        <f>SUM(H12-H13)</f>
        <v>706.03</v>
      </c>
      <c r="I14" s="89">
        <f>SUM(I12-I13)</f>
        <v>3140.1600000000003</v>
      </c>
      <c r="J14" s="85">
        <f t="shared" si="1"/>
        <v>21.79</v>
      </c>
      <c r="K14" s="89">
        <f>SUM(K12-K13)</f>
        <v>2578.27</v>
      </c>
      <c r="L14" s="5"/>
      <c r="M14" s="26"/>
      <c r="N14" s="2" t="s">
        <v>131</v>
      </c>
      <c r="O14" s="52">
        <f>ROUND(Q14/R14*100-100,2)</f>
        <v>-3.51</v>
      </c>
      <c r="P14" s="116">
        <v>610.36</v>
      </c>
      <c r="Q14" s="116">
        <v>182.79</v>
      </c>
      <c r="R14" s="117">
        <f>765.62-2.46-573.73</f>
        <v>189.42999999999995</v>
      </c>
      <c r="S14" s="116">
        <v>793.15</v>
      </c>
      <c r="T14" s="85">
        <f>ROUND(S14/U14*100-100,2)</f>
        <v>3.93</v>
      </c>
      <c r="U14" s="117">
        <f>765.62-2.46</f>
        <v>763.16</v>
      </c>
      <c r="V14" s="18"/>
    </row>
    <row r="15" spans="2:21" ht="16.5" customHeight="1">
      <c r="B15" s="26" t="s">
        <v>12</v>
      </c>
      <c r="C15" s="41" t="s">
        <v>94</v>
      </c>
      <c r="D15" s="42"/>
      <c r="E15" s="52">
        <f t="shared" si="0"/>
        <v>44.69</v>
      </c>
      <c r="F15" s="90">
        <v>43.14</v>
      </c>
      <c r="G15" s="90">
        <f>I15-F15</f>
        <v>31.5</v>
      </c>
      <c r="H15" s="90">
        <f>107.25-85.48</f>
        <v>21.769999999999996</v>
      </c>
      <c r="I15" s="90">
        <f>74.15+0.49</f>
        <v>74.64</v>
      </c>
      <c r="J15" s="85">
        <f t="shared" si="1"/>
        <v>25.93</v>
      </c>
      <c r="K15" s="90">
        <f>107.25-47.98</f>
        <v>59.27</v>
      </c>
      <c r="L15" s="17"/>
      <c r="M15" s="26"/>
      <c r="N15" s="43" t="s">
        <v>37</v>
      </c>
      <c r="O15" s="52">
        <f>ROUND(Q15/R15*100-100,2)</f>
        <v>34.01</v>
      </c>
      <c r="P15" s="113">
        <v>1235.58</v>
      </c>
      <c r="Q15" s="113">
        <v>520.7</v>
      </c>
      <c r="R15" s="113">
        <f>1301.35-5.6-907.21</f>
        <v>388.53999999999996</v>
      </c>
      <c r="S15" s="113">
        <v>1756.28</v>
      </c>
      <c r="T15" s="85">
        <f>ROUND(S15/U15*100-100,2)</f>
        <v>35.54</v>
      </c>
      <c r="U15" s="113">
        <f>1301.35-5.6</f>
        <v>1295.75</v>
      </c>
    </row>
    <row r="16" spans="2:21" ht="16.5" customHeight="1">
      <c r="B16" s="26" t="s">
        <v>13</v>
      </c>
      <c r="C16" s="6" t="s">
        <v>6</v>
      </c>
      <c r="D16" s="17"/>
      <c r="E16" s="52">
        <f t="shared" si="0"/>
        <v>8.85</v>
      </c>
      <c r="F16" s="91">
        <f>SUM(F17:F23)</f>
        <v>1834.67</v>
      </c>
      <c r="G16" s="91">
        <f>SUM(G17:G23)</f>
        <v>681.01</v>
      </c>
      <c r="H16" s="91">
        <f>SUM(H17:H23)</f>
        <v>625.64</v>
      </c>
      <c r="I16" s="91">
        <f>SUM(I17:I23)</f>
        <v>2515.68</v>
      </c>
      <c r="J16" s="85">
        <f t="shared" si="1"/>
        <v>9.34</v>
      </c>
      <c r="K16" s="91">
        <f>SUM(K17:K23)</f>
        <v>2300.8700000000003</v>
      </c>
      <c r="L16" s="17"/>
      <c r="M16" s="18"/>
      <c r="N16" s="2" t="s">
        <v>76</v>
      </c>
      <c r="O16" s="52">
        <f>ROUND(Q16/R16*100-100,2)</f>
        <v>34.66</v>
      </c>
      <c r="P16" s="116">
        <v>421.35</v>
      </c>
      <c r="Q16" s="116">
        <v>171.07</v>
      </c>
      <c r="R16" s="116">
        <f>503.96-0.14-376.78</f>
        <v>127.04000000000002</v>
      </c>
      <c r="S16" s="116">
        <v>592.42</v>
      </c>
      <c r="T16" s="85">
        <f>ROUND(S16/U16*100-100,2)</f>
        <v>17.59</v>
      </c>
      <c r="U16" s="116">
        <f>503.96-0.14</f>
        <v>503.82</v>
      </c>
    </row>
    <row r="17" spans="2:21" ht="16.5" customHeight="1">
      <c r="B17" s="21"/>
      <c r="C17" s="6" t="s">
        <v>7</v>
      </c>
      <c r="D17" s="17" t="s">
        <v>27</v>
      </c>
      <c r="E17" s="52">
        <f t="shared" si="0"/>
        <v>-163.5</v>
      </c>
      <c r="F17" s="92">
        <v>-3.83</v>
      </c>
      <c r="G17" s="90">
        <f aca="true" t="shared" si="2" ref="G17:G24">I17-F17</f>
        <v>9.81</v>
      </c>
      <c r="H17" s="92">
        <f>-11.68-1.46-2.31</f>
        <v>-15.450000000000001</v>
      </c>
      <c r="I17" s="92">
        <v>5.98</v>
      </c>
      <c r="J17" s="85">
        <f t="shared" si="1"/>
        <v>-145.51</v>
      </c>
      <c r="K17" s="92">
        <f>-11.68-1.46</f>
        <v>-13.14</v>
      </c>
      <c r="L17" s="17"/>
      <c r="M17" s="18"/>
      <c r="N17" s="2" t="s">
        <v>90</v>
      </c>
      <c r="O17" s="52"/>
      <c r="P17" s="118">
        <v>0</v>
      </c>
      <c r="Q17" s="119">
        <v>0</v>
      </c>
      <c r="R17" s="118">
        <f>25.04-25.04</f>
        <v>0</v>
      </c>
      <c r="S17" s="119">
        <v>0</v>
      </c>
      <c r="T17" s="85"/>
      <c r="U17" s="116">
        <v>25.04</v>
      </c>
    </row>
    <row r="18" spans="2:21" ht="16.5" customHeight="1">
      <c r="B18" s="21"/>
      <c r="C18" s="6" t="s">
        <v>8</v>
      </c>
      <c r="D18" s="17" t="s">
        <v>26</v>
      </c>
      <c r="E18" s="52">
        <f t="shared" si="0"/>
        <v>16.26</v>
      </c>
      <c r="F18" s="92">
        <v>483.61</v>
      </c>
      <c r="G18" s="90">
        <f t="shared" si="2"/>
        <v>203.75</v>
      </c>
      <c r="H18" s="92">
        <f>582.58+17.6-424.93</f>
        <v>175.25000000000006</v>
      </c>
      <c r="I18" s="92">
        <f>649.57+37.79</f>
        <v>687.36</v>
      </c>
      <c r="J18" s="85">
        <f t="shared" si="1"/>
        <v>14.53</v>
      </c>
      <c r="K18" s="92">
        <f>582.58+17.6</f>
        <v>600.1800000000001</v>
      </c>
      <c r="L18" s="17"/>
      <c r="M18" s="26"/>
      <c r="N18" s="27" t="s">
        <v>73</v>
      </c>
      <c r="O18" s="51">
        <f>ROUND(Q18/R18*100-100,2)</f>
        <v>8.99</v>
      </c>
      <c r="P18" s="120">
        <v>51.34</v>
      </c>
      <c r="Q18" s="120">
        <v>18.18</v>
      </c>
      <c r="R18" s="120">
        <f>61.03-44.35</f>
        <v>16.68</v>
      </c>
      <c r="S18" s="120">
        <v>69.52</v>
      </c>
      <c r="T18" s="88">
        <f>ROUND(S18/U18*100-100,2)</f>
        <v>13.91</v>
      </c>
      <c r="U18" s="120">
        <v>61.03</v>
      </c>
    </row>
    <row r="19" spans="2:21" ht="16.5" customHeight="1">
      <c r="B19" s="21"/>
      <c r="C19" s="6" t="s">
        <v>9</v>
      </c>
      <c r="D19" s="17" t="s">
        <v>10</v>
      </c>
      <c r="E19" s="52">
        <f t="shared" si="0"/>
        <v>-25.35</v>
      </c>
      <c r="F19" s="92">
        <v>241.84</v>
      </c>
      <c r="G19" s="90">
        <f t="shared" si="2"/>
        <v>58.41</v>
      </c>
      <c r="H19" s="92">
        <f>292.02-213.77</f>
        <v>78.24999999999997</v>
      </c>
      <c r="I19" s="92">
        <v>300.25</v>
      </c>
      <c r="J19" s="85">
        <f t="shared" si="1"/>
        <v>2.82</v>
      </c>
      <c r="K19" s="92">
        <v>292.02</v>
      </c>
      <c r="L19" s="17"/>
      <c r="M19" s="18"/>
      <c r="N19" s="2" t="s">
        <v>24</v>
      </c>
      <c r="O19" s="52">
        <f>ROUND(Q19/R19*100-100,2)</f>
        <v>23.7</v>
      </c>
      <c r="P19" s="105">
        <f>SUM(P14:P18)</f>
        <v>2318.63</v>
      </c>
      <c r="Q19" s="105">
        <f>SUM(Q14:Q18)</f>
        <v>892.7399999999999</v>
      </c>
      <c r="R19" s="105">
        <f>SUM(R14:R18)</f>
        <v>721.6899999999999</v>
      </c>
      <c r="S19" s="105">
        <f>SUM(S14:S18)</f>
        <v>3211.37</v>
      </c>
      <c r="T19" s="85">
        <f>ROUND(S19/U19*100-100,2)</f>
        <v>21.24</v>
      </c>
      <c r="U19" s="105">
        <f>SUM(U14:U18)</f>
        <v>2648.8</v>
      </c>
    </row>
    <row r="20" spans="2:21" ht="16.5" customHeight="1">
      <c r="B20" s="21"/>
      <c r="C20" s="6" t="s">
        <v>11</v>
      </c>
      <c r="D20" s="17" t="s">
        <v>21</v>
      </c>
      <c r="E20" s="52">
        <f t="shared" si="0"/>
        <v>9.62</v>
      </c>
      <c r="F20" s="92">
        <v>296.11</v>
      </c>
      <c r="G20" s="90">
        <f t="shared" si="2"/>
        <v>101.41999999999996</v>
      </c>
      <c r="H20" s="92">
        <f>345.83-253.31</f>
        <v>92.51999999999998</v>
      </c>
      <c r="I20" s="92">
        <v>397.53</v>
      </c>
      <c r="J20" s="85">
        <f t="shared" si="1"/>
        <v>14.95</v>
      </c>
      <c r="K20" s="92">
        <v>345.83</v>
      </c>
      <c r="L20" s="18"/>
      <c r="M20" s="18"/>
      <c r="N20" s="28" t="s">
        <v>51</v>
      </c>
      <c r="O20" s="52">
        <f>ROUND(Q20/R20*100-100,2)</f>
        <v>9.45</v>
      </c>
      <c r="P20" s="116">
        <v>54.07</v>
      </c>
      <c r="Q20" s="116">
        <v>17.14</v>
      </c>
      <c r="R20" s="116">
        <f>70.53-54.87</f>
        <v>15.660000000000004</v>
      </c>
      <c r="S20" s="116">
        <v>71.21</v>
      </c>
      <c r="T20" s="85">
        <f>ROUND(S20/U20*100-100,2)</f>
        <v>0.96</v>
      </c>
      <c r="U20" s="116">
        <v>70.53</v>
      </c>
    </row>
    <row r="21" spans="2:21" ht="16.5" customHeight="1">
      <c r="B21" s="21"/>
      <c r="C21" s="6" t="s">
        <v>20</v>
      </c>
      <c r="D21" s="17" t="s">
        <v>22</v>
      </c>
      <c r="E21" s="52">
        <f t="shared" si="0"/>
        <v>-6.97</v>
      </c>
      <c r="F21" s="92">
        <v>431.95</v>
      </c>
      <c r="G21" s="90">
        <f t="shared" si="2"/>
        <v>143.38000000000005</v>
      </c>
      <c r="H21" s="92">
        <f>559.16-405.03</f>
        <v>154.13</v>
      </c>
      <c r="I21" s="92">
        <v>575.33</v>
      </c>
      <c r="J21" s="85">
        <f t="shared" si="1"/>
        <v>2.89</v>
      </c>
      <c r="K21" s="92">
        <v>559.16</v>
      </c>
      <c r="L21" s="17"/>
      <c r="M21" s="22"/>
      <c r="N21" s="29" t="s">
        <v>56</v>
      </c>
      <c r="O21" s="54">
        <f>ROUND(Q21/R21*100-100,2)</f>
        <v>24.02</v>
      </c>
      <c r="P21" s="121">
        <f>P19-P20</f>
        <v>2264.56</v>
      </c>
      <c r="Q21" s="121">
        <f>Q19-Q20</f>
        <v>875.5999999999999</v>
      </c>
      <c r="R21" s="121">
        <f>R19-R20</f>
        <v>706.03</v>
      </c>
      <c r="S21" s="121">
        <f>S19-S20</f>
        <v>3140.16</v>
      </c>
      <c r="T21" s="122">
        <f>ROUND(S21/U21*100-100,2)</f>
        <v>21.79</v>
      </c>
      <c r="U21" s="121">
        <f>U19-U20</f>
        <v>2578.27</v>
      </c>
    </row>
    <row r="22" spans="2:21" ht="16.5" customHeight="1">
      <c r="B22" s="21"/>
      <c r="C22" s="6" t="s">
        <v>18</v>
      </c>
      <c r="D22" s="17" t="s">
        <v>55</v>
      </c>
      <c r="E22" s="52">
        <f t="shared" si="0"/>
        <v>3.17</v>
      </c>
      <c r="F22" s="92">
        <v>243.26</v>
      </c>
      <c r="G22" s="90">
        <f t="shared" si="2"/>
        <v>93.75999999999999</v>
      </c>
      <c r="H22" s="92">
        <f>325.07-234.19</f>
        <v>90.88</v>
      </c>
      <c r="I22" s="92">
        <v>337.02</v>
      </c>
      <c r="J22" s="85">
        <f t="shared" si="1"/>
        <v>3.68</v>
      </c>
      <c r="K22" s="92">
        <v>325.07</v>
      </c>
      <c r="L22" s="17"/>
      <c r="M22" s="26" t="s">
        <v>4</v>
      </c>
      <c r="N22" s="2" t="s">
        <v>46</v>
      </c>
      <c r="O22" s="66"/>
      <c r="P22" s="116"/>
      <c r="Q22" s="116"/>
      <c r="R22" s="116"/>
      <c r="S22" s="116"/>
      <c r="T22" s="123"/>
      <c r="U22" s="116"/>
    </row>
    <row r="23" spans="2:21" ht="16.5" customHeight="1">
      <c r="B23" s="21"/>
      <c r="C23" s="6" t="s">
        <v>19</v>
      </c>
      <c r="D23" s="17" t="s">
        <v>106</v>
      </c>
      <c r="E23" s="52">
        <f t="shared" si="0"/>
        <v>40.79</v>
      </c>
      <c r="F23" s="92">
        <f>0.17+141.57-0.01</f>
        <v>141.73</v>
      </c>
      <c r="G23" s="90">
        <f t="shared" si="2"/>
        <v>70.48000000000002</v>
      </c>
      <c r="H23" s="92">
        <f>966.65-345.83-559.16+463.45-325.07-2.79-5.51-141.61-0.07</f>
        <v>50.05999999999991</v>
      </c>
      <c r="I23" s="92">
        <f>1034.94-397.53-575.33+489.93-337.02-2.77-0.01</f>
        <v>212.21</v>
      </c>
      <c r="J23" s="85">
        <f t="shared" si="1"/>
        <v>10.67</v>
      </c>
      <c r="K23" s="92">
        <f>966.65-345.83-559.16+463.45-325.07-2.79-5.5</f>
        <v>191.74999999999991</v>
      </c>
      <c r="L23" s="17"/>
      <c r="M23" s="18"/>
      <c r="N23" s="30" t="s">
        <v>129</v>
      </c>
      <c r="O23" s="67"/>
      <c r="P23" s="116"/>
      <c r="Q23" s="116"/>
      <c r="R23" s="116"/>
      <c r="S23" s="116"/>
      <c r="T23" s="123"/>
      <c r="U23" s="116"/>
    </row>
    <row r="24" spans="2:21" ht="16.5" customHeight="1">
      <c r="B24" s="26" t="s">
        <v>14</v>
      </c>
      <c r="C24" s="6" t="s">
        <v>23</v>
      </c>
      <c r="D24" s="17"/>
      <c r="E24" s="52">
        <f t="shared" si="0"/>
        <v>222.87</v>
      </c>
      <c r="F24" s="89">
        <v>34.11</v>
      </c>
      <c r="G24" s="90">
        <f t="shared" si="2"/>
        <v>25.410000000000004</v>
      </c>
      <c r="H24" s="89">
        <f>41.33-33.46</f>
        <v>7.869999999999997</v>
      </c>
      <c r="I24" s="89">
        <v>59.52</v>
      </c>
      <c r="J24" s="85">
        <f t="shared" si="1"/>
        <v>44.01</v>
      </c>
      <c r="K24" s="89">
        <v>41.33</v>
      </c>
      <c r="L24" s="17"/>
      <c r="M24" s="39"/>
      <c r="N24" s="45" t="s">
        <v>130</v>
      </c>
      <c r="O24" s="68"/>
      <c r="P24" s="104"/>
      <c r="Q24" s="104"/>
      <c r="R24" s="104"/>
      <c r="S24" s="104"/>
      <c r="T24" s="124"/>
      <c r="U24" s="104"/>
    </row>
    <row r="25" spans="2:21" ht="16.5" customHeight="1">
      <c r="B25" s="26" t="s">
        <v>15</v>
      </c>
      <c r="C25" s="31" t="s">
        <v>116</v>
      </c>
      <c r="D25" s="17"/>
      <c r="E25" s="52"/>
      <c r="F25" s="89"/>
      <c r="G25" s="89"/>
      <c r="H25" s="89"/>
      <c r="I25" s="89"/>
      <c r="J25" s="85"/>
      <c r="K25" s="89"/>
      <c r="L25" s="17"/>
      <c r="M25" s="18"/>
      <c r="N25" s="2" t="s">
        <v>131</v>
      </c>
      <c r="O25" s="52">
        <f>ROUND(Q25/R25*100-100,2)</f>
        <v>-20.82</v>
      </c>
      <c r="P25" s="91">
        <v>-20.39</v>
      </c>
      <c r="Q25" s="91">
        <v>-8.9</v>
      </c>
      <c r="R25" s="91">
        <f>1.86-13.1</f>
        <v>-11.24</v>
      </c>
      <c r="S25" s="91">
        <v>-29.29</v>
      </c>
      <c r="T25" s="85">
        <f>ROUND(S25/U25*100-100,2)</f>
        <v>-1674.73</v>
      </c>
      <c r="U25" s="91">
        <v>1.86</v>
      </c>
    </row>
    <row r="26" spans="2:21" ht="16.5" customHeight="1">
      <c r="B26" s="26"/>
      <c r="C26" s="38" t="s">
        <v>117</v>
      </c>
      <c r="D26" s="59"/>
      <c r="E26" s="53">
        <f>ROUND(G26/H26*100-100,2)</f>
        <v>112.83</v>
      </c>
      <c r="F26" s="93">
        <f>SUM(F14+F15-F16-F24)</f>
        <v>438.9200000000002</v>
      </c>
      <c r="G26" s="93">
        <f>SUM(G14+G15-G16-G24)</f>
        <v>200.68000000000026</v>
      </c>
      <c r="H26" s="93">
        <f>SUM(H14+H15-H16-H24)</f>
        <v>94.28999999999996</v>
      </c>
      <c r="I26" s="93">
        <f>SUM(I14+I15-I16-I24)</f>
        <v>639.6000000000004</v>
      </c>
      <c r="J26" s="94">
        <f>ROUND(I26/K26*100-100,2)</f>
        <v>116.56</v>
      </c>
      <c r="K26" s="93">
        <f>SUM(K14+K15-K16-K24)</f>
        <v>295.33999999999963</v>
      </c>
      <c r="L26" s="17"/>
      <c r="M26" s="18"/>
      <c r="N26" s="2" t="s">
        <v>37</v>
      </c>
      <c r="O26" s="52">
        <f>ROUND(Q26/R26*100-100,2)</f>
        <v>222.58</v>
      </c>
      <c r="P26" s="125">
        <v>322.17</v>
      </c>
      <c r="Q26" s="125">
        <v>172.13</v>
      </c>
      <c r="R26" s="125">
        <f>108.41-55.05</f>
        <v>53.36</v>
      </c>
      <c r="S26" s="116">
        <v>494.3</v>
      </c>
      <c r="T26" s="85">
        <f>ROUND(S26/U26*100-100,2)</f>
        <v>355.95</v>
      </c>
      <c r="U26" s="125">
        <v>108.41</v>
      </c>
    </row>
    <row r="27" spans="2:21" ht="16.5" customHeight="1">
      <c r="B27" s="26" t="s">
        <v>16</v>
      </c>
      <c r="C27" s="6" t="s">
        <v>31</v>
      </c>
      <c r="D27" s="60"/>
      <c r="E27" s="52">
        <f>ROUND(G27/H27*100-100,2)</f>
        <v>16.21</v>
      </c>
      <c r="F27" s="92">
        <v>95.25</v>
      </c>
      <c r="G27" s="90">
        <f>I27-F27</f>
        <v>39.94</v>
      </c>
      <c r="H27" s="92">
        <f>134.46-100.09</f>
        <v>34.370000000000005</v>
      </c>
      <c r="I27" s="92">
        <v>135.19</v>
      </c>
      <c r="J27" s="85">
        <f>ROUND(I27/K27*100-100,2)</f>
        <v>0.54</v>
      </c>
      <c r="K27" s="92">
        <v>134.46</v>
      </c>
      <c r="L27" s="17"/>
      <c r="M27" s="18"/>
      <c r="N27" s="2" t="s">
        <v>76</v>
      </c>
      <c r="O27" s="52">
        <f>ROUND(Q27/R27*100-100,2)</f>
        <v>11.8</v>
      </c>
      <c r="P27" s="116">
        <v>76.71</v>
      </c>
      <c r="Q27" s="116">
        <v>26.81</v>
      </c>
      <c r="R27" s="116">
        <f>87.97-63.99</f>
        <v>23.979999999999997</v>
      </c>
      <c r="S27" s="116">
        <v>103.52</v>
      </c>
      <c r="T27" s="85">
        <f>ROUND(S27/U27*100-100,2)</f>
        <v>17.68</v>
      </c>
      <c r="U27" s="116">
        <v>87.97</v>
      </c>
    </row>
    <row r="28" spans="2:21" ht="16.5" customHeight="1">
      <c r="B28" s="26" t="s">
        <v>17</v>
      </c>
      <c r="C28" s="31" t="s">
        <v>61</v>
      </c>
      <c r="D28" s="17"/>
      <c r="E28" s="52"/>
      <c r="F28" s="92"/>
      <c r="G28" s="92"/>
      <c r="H28" s="92"/>
      <c r="I28" s="92"/>
      <c r="J28" s="85"/>
      <c r="K28" s="92"/>
      <c r="L28" s="17"/>
      <c r="M28" s="18"/>
      <c r="N28" s="2" t="s">
        <v>90</v>
      </c>
      <c r="O28" s="61"/>
      <c r="P28" s="118">
        <v>0</v>
      </c>
      <c r="Q28" s="119">
        <v>0</v>
      </c>
      <c r="R28" s="91">
        <v>-0.43</v>
      </c>
      <c r="S28" s="119">
        <v>0</v>
      </c>
      <c r="T28" s="85"/>
      <c r="U28" s="116">
        <v>11.55</v>
      </c>
    </row>
    <row r="29" spans="2:21" ht="16.5" customHeight="1">
      <c r="B29" s="26"/>
      <c r="C29" s="38" t="s">
        <v>62</v>
      </c>
      <c r="D29" s="59"/>
      <c r="E29" s="53">
        <f>ROUND(G29/H29*100-100,2)</f>
        <v>-13.49</v>
      </c>
      <c r="F29" s="95">
        <v>6.87</v>
      </c>
      <c r="G29" s="95">
        <f>I29-F29</f>
        <v>2.63</v>
      </c>
      <c r="H29" s="95">
        <f>12.29-0.03-9.22</f>
        <v>3.039999999999999</v>
      </c>
      <c r="I29" s="95">
        <f>8.99+0.51</f>
        <v>9.5</v>
      </c>
      <c r="J29" s="96">
        <f>ROUND(I29/K29*100-100,2)</f>
        <v>-22.51</v>
      </c>
      <c r="K29" s="95">
        <f>12.29-0.03</f>
        <v>12.26</v>
      </c>
      <c r="L29" s="17"/>
      <c r="M29" s="18"/>
      <c r="N29" s="27" t="s">
        <v>73</v>
      </c>
      <c r="O29" s="52">
        <f>ROUND(Q29/R29*100-100,2)</f>
        <v>-5.26</v>
      </c>
      <c r="P29" s="126">
        <v>2.8</v>
      </c>
      <c r="Q29" s="126">
        <v>2.88</v>
      </c>
      <c r="R29" s="120">
        <f>2.7+0.34</f>
        <v>3.04</v>
      </c>
      <c r="S29" s="126">
        <v>5.68</v>
      </c>
      <c r="T29" s="85">
        <f>ROUND(S29/U29*100-100,2)</f>
        <v>110.37</v>
      </c>
      <c r="U29" s="120">
        <v>2.7</v>
      </c>
    </row>
    <row r="30" spans="2:22" ht="16.5" customHeight="1">
      <c r="B30" s="26" t="s">
        <v>80</v>
      </c>
      <c r="C30" s="31" t="s">
        <v>127</v>
      </c>
      <c r="D30" s="60"/>
      <c r="E30" s="53"/>
      <c r="F30" s="95"/>
      <c r="G30" s="95"/>
      <c r="H30" s="95"/>
      <c r="I30" s="95"/>
      <c r="J30" s="96"/>
      <c r="K30" s="95"/>
      <c r="L30" s="17"/>
      <c r="M30" s="26"/>
      <c r="N30" s="2" t="s">
        <v>75</v>
      </c>
      <c r="O30" s="54">
        <f>ROUND(Q30/R30*100-100,2)</f>
        <v>180.77</v>
      </c>
      <c r="P30" s="120">
        <f>SUM(P25:P29)</f>
        <v>381.29</v>
      </c>
      <c r="Q30" s="120">
        <f>SUM(Q25:Q29)</f>
        <v>192.92</v>
      </c>
      <c r="R30" s="120">
        <f>SUM(R25:R29)</f>
        <v>68.71</v>
      </c>
      <c r="S30" s="120">
        <f>SUM(S25:S29)</f>
        <v>574.2099999999999</v>
      </c>
      <c r="T30" s="122">
        <f>ROUND(S30/U30*100-100,2)</f>
        <v>170.23</v>
      </c>
      <c r="U30" s="120">
        <f>SUM(U25:U29)</f>
        <v>212.49</v>
      </c>
      <c r="V30" s="18"/>
    </row>
    <row r="31" spans="2:21" ht="16.5" customHeight="1">
      <c r="B31" s="26"/>
      <c r="C31" s="38" t="s">
        <v>126</v>
      </c>
      <c r="D31" s="59"/>
      <c r="E31" s="53">
        <f>ROUND(G31/H31*100-100,2)</f>
        <v>177.97</v>
      </c>
      <c r="F31" s="93">
        <f>SUM(F26-F27-F29)</f>
        <v>336.8000000000002</v>
      </c>
      <c r="G31" s="93">
        <f>SUM(G26-G27-G29)</f>
        <v>158.11000000000027</v>
      </c>
      <c r="H31" s="93">
        <f>SUM(H26-H27-H29)</f>
        <v>56.87999999999996</v>
      </c>
      <c r="I31" s="93">
        <f>SUM(I26-I27-I29)</f>
        <v>494.91000000000037</v>
      </c>
      <c r="J31" s="94">
        <f>ROUND(I31/K31*100-100,2)</f>
        <v>233</v>
      </c>
      <c r="K31" s="93">
        <f>SUM(K26-K27-K29)</f>
        <v>148.61999999999964</v>
      </c>
      <c r="L31" s="5"/>
      <c r="M31" s="26"/>
      <c r="N31" s="2" t="s">
        <v>85</v>
      </c>
      <c r="O31" s="61"/>
      <c r="P31" s="127"/>
      <c r="Q31" s="127"/>
      <c r="R31" s="116"/>
      <c r="S31" s="127"/>
      <c r="T31" s="85"/>
      <c r="U31" s="116"/>
    </row>
    <row r="32" spans="2:21" ht="16.5" customHeight="1">
      <c r="B32" s="26" t="s">
        <v>118</v>
      </c>
      <c r="C32" s="31" t="s">
        <v>128</v>
      </c>
      <c r="D32" s="59"/>
      <c r="E32" s="52"/>
      <c r="F32" s="89">
        <f>56.92+30.63</f>
        <v>87.55</v>
      </c>
      <c r="G32" s="97">
        <f>I32-F32</f>
        <v>54.82000000000001</v>
      </c>
      <c r="H32" s="98">
        <f>5.51-3.93+0.07</f>
        <v>1.6499999999999997</v>
      </c>
      <c r="I32" s="97">
        <f>75.05+67.32</f>
        <v>142.37</v>
      </c>
      <c r="J32" s="94">
        <f>ROUND(I32/K32*100-100,2)</f>
        <v>-435.15</v>
      </c>
      <c r="K32" s="97">
        <f>-47.98+5.5</f>
        <v>-42.48</v>
      </c>
      <c r="L32" s="5"/>
      <c r="M32" s="26"/>
      <c r="N32" s="28" t="s">
        <v>125</v>
      </c>
      <c r="O32" s="52">
        <f>ROUND(Q32/R32*100-100,2)</f>
        <v>132</v>
      </c>
      <c r="P32" s="153">
        <v>-0.82</v>
      </c>
      <c r="Q32" s="120">
        <v>0.58</v>
      </c>
      <c r="R32" s="120">
        <f>0.92-0.67</f>
        <v>0.25</v>
      </c>
      <c r="S32" s="126">
        <v>-0.24</v>
      </c>
      <c r="T32" s="88">
        <f>ROUND(S32/U32*100-100,2)</f>
        <v>-126.09</v>
      </c>
      <c r="U32" s="120">
        <v>0.92</v>
      </c>
    </row>
    <row r="33" spans="2:28" ht="16.5" customHeight="1">
      <c r="B33" s="26" t="s">
        <v>58</v>
      </c>
      <c r="C33" s="31" t="s">
        <v>119</v>
      </c>
      <c r="D33" s="59"/>
      <c r="E33" s="52">
        <f>ROUND(G33/H33*100-100,2)</f>
        <v>87.02</v>
      </c>
      <c r="F33" s="99">
        <f>F31-F32</f>
        <v>249.25000000000017</v>
      </c>
      <c r="G33" s="99">
        <f>G31-G32</f>
        <v>103.29000000000026</v>
      </c>
      <c r="H33" s="99">
        <f>H31-H32</f>
        <v>55.22999999999996</v>
      </c>
      <c r="I33" s="99">
        <f>I31-I32</f>
        <v>352.54000000000036</v>
      </c>
      <c r="J33" s="85">
        <f>ROUND(I33/K33*100-100,2)</f>
        <v>84.48</v>
      </c>
      <c r="K33" s="99">
        <f>K31-K32</f>
        <v>191.09999999999962</v>
      </c>
      <c r="L33" s="17"/>
      <c r="M33" s="26"/>
      <c r="N33" s="2" t="s">
        <v>28</v>
      </c>
      <c r="O33" s="52">
        <f>ROUND(Q33/R33*100-100,2)</f>
        <v>180.6</v>
      </c>
      <c r="P33" s="116">
        <f>P30+P32</f>
        <v>380.47</v>
      </c>
      <c r="Q33" s="105">
        <f>Q30+Q32</f>
        <v>193.5</v>
      </c>
      <c r="R33" s="105">
        <f>R30+R32</f>
        <v>68.96</v>
      </c>
      <c r="S33" s="105">
        <f>S30+S32</f>
        <v>573.9699999999999</v>
      </c>
      <c r="T33" s="85">
        <f>ROUND(S33/U33*100-100,2)</f>
        <v>168.95</v>
      </c>
      <c r="U33" s="128">
        <f>U30+U32</f>
        <v>213.41</v>
      </c>
      <c r="V33" s="18"/>
      <c r="X33" s="28"/>
      <c r="Y33" s="6"/>
      <c r="Z33" s="6"/>
      <c r="AA33" s="28"/>
      <c r="AB33" s="6"/>
    </row>
    <row r="34" spans="2:22" ht="16.5" customHeight="1">
      <c r="B34" s="26" t="s">
        <v>57</v>
      </c>
      <c r="C34" s="1" t="s">
        <v>82</v>
      </c>
      <c r="D34" s="6"/>
      <c r="E34" s="52"/>
      <c r="F34" s="91"/>
      <c r="G34" s="91"/>
      <c r="H34" s="91"/>
      <c r="I34" s="91"/>
      <c r="J34" s="85"/>
      <c r="K34" s="91"/>
      <c r="L34" s="5"/>
      <c r="M34" s="26"/>
      <c r="N34" s="2" t="s">
        <v>43</v>
      </c>
      <c r="O34" s="61"/>
      <c r="P34" s="116"/>
      <c r="Q34" s="116"/>
      <c r="R34" s="117"/>
      <c r="S34" s="116"/>
      <c r="T34" s="129"/>
      <c r="U34" s="117"/>
      <c r="V34" s="18"/>
    </row>
    <row r="35" spans="2:22" ht="16.5" customHeight="1">
      <c r="B35" s="26"/>
      <c r="C35" s="6" t="s">
        <v>7</v>
      </c>
      <c r="D35" s="6" t="s">
        <v>83</v>
      </c>
      <c r="E35" s="52">
        <f>ROUND(G35/H35*100-100,2)</f>
        <v>23.52</v>
      </c>
      <c r="F35" s="100">
        <f>62.35+4</f>
        <v>66.35</v>
      </c>
      <c r="G35" s="101">
        <f>I35-F35</f>
        <v>28.939999999999998</v>
      </c>
      <c r="H35" s="101">
        <f>45.63-22.2</f>
        <v>23.430000000000003</v>
      </c>
      <c r="I35" s="101">
        <f>95.35-0.06</f>
        <v>95.28999999999999</v>
      </c>
      <c r="J35" s="85">
        <f>ROUND(I35/K35*100-100,2)</f>
        <v>108.83</v>
      </c>
      <c r="K35" s="101">
        <v>45.63</v>
      </c>
      <c r="L35" s="17"/>
      <c r="M35" s="18"/>
      <c r="N35" s="2" t="s">
        <v>44</v>
      </c>
      <c r="O35" s="52">
        <f>ROUND(Q35/R35*100-100,2)</f>
        <v>222.87</v>
      </c>
      <c r="P35" s="116">
        <v>34.11</v>
      </c>
      <c r="Q35" s="116">
        <v>25.41</v>
      </c>
      <c r="R35" s="117">
        <f>41.33-33.46</f>
        <v>7.869999999999997</v>
      </c>
      <c r="S35" s="116">
        <v>59.52</v>
      </c>
      <c r="T35" s="129">
        <f>ROUND(S35/U35*100-100,2)</f>
        <v>44.01</v>
      </c>
      <c r="U35" s="117">
        <v>41.33</v>
      </c>
      <c r="V35" s="18"/>
    </row>
    <row r="36" spans="2:22" ht="16.5" customHeight="1">
      <c r="B36" s="26"/>
      <c r="C36" s="6" t="s">
        <v>8</v>
      </c>
      <c r="D36" s="31" t="s">
        <v>87</v>
      </c>
      <c r="E36" s="52">
        <f>ROUND(G36/H36*100-100,2)</f>
        <v>-465.73</v>
      </c>
      <c r="F36" s="102">
        <v>2.75</v>
      </c>
      <c r="G36" s="101">
        <f>I36-F36</f>
        <v>-20.81</v>
      </c>
      <c r="H36" s="102">
        <f>33.94-28.25</f>
        <v>5.689999999999998</v>
      </c>
      <c r="I36" s="102">
        <v>-18.06</v>
      </c>
      <c r="J36" s="85">
        <f>ROUND(I36/K36*100-100,2)</f>
        <v>-153.21</v>
      </c>
      <c r="K36" s="102">
        <v>33.94</v>
      </c>
      <c r="L36" s="6"/>
      <c r="M36" s="18"/>
      <c r="N36" s="2" t="s">
        <v>60</v>
      </c>
      <c r="O36" s="70"/>
      <c r="P36" s="130"/>
      <c r="Q36" s="130"/>
      <c r="R36" s="130"/>
      <c r="S36" s="104"/>
      <c r="T36" s="129"/>
      <c r="U36" s="130"/>
      <c r="V36" s="39"/>
    </row>
    <row r="37" spans="2:22" ht="16.5" customHeight="1">
      <c r="B37" s="26"/>
      <c r="C37" s="6" t="s">
        <v>9</v>
      </c>
      <c r="D37" s="6" t="s">
        <v>84</v>
      </c>
      <c r="E37" s="52">
        <f>ROUND(G37/H37*100-100,2)</f>
        <v>-11.11</v>
      </c>
      <c r="F37" s="91">
        <v>1.7</v>
      </c>
      <c r="G37" s="101">
        <f>I37-F37</f>
        <v>0.8</v>
      </c>
      <c r="H37" s="103">
        <f>2.48-1.58</f>
        <v>0.8999999999999999</v>
      </c>
      <c r="I37" s="103">
        <v>2.5</v>
      </c>
      <c r="J37" s="85">
        <f>ROUND(I37/K37*100-100,2)</f>
        <v>0.81</v>
      </c>
      <c r="K37" s="103">
        <v>2.48</v>
      </c>
      <c r="L37" s="6"/>
      <c r="M37" s="39"/>
      <c r="N37" s="40" t="s">
        <v>45</v>
      </c>
      <c r="O37" s="53">
        <f>ROUND(Q37/R37*100-100,2)</f>
        <v>137.05</v>
      </c>
      <c r="P37" s="130">
        <v>9.56</v>
      </c>
      <c r="Q37" s="130">
        <v>9.98</v>
      </c>
      <c r="R37" s="130">
        <f>23.45-19.24</f>
        <v>4.210000000000001</v>
      </c>
      <c r="S37" s="104">
        <f>19.48+0.06</f>
        <v>19.54</v>
      </c>
      <c r="T37" s="131">
        <f>ROUND(S37/U37*100-100,2)</f>
        <v>-16.71</v>
      </c>
      <c r="U37" s="130">
        <f>23.45+0.01</f>
        <v>23.46</v>
      </c>
      <c r="V37" s="18"/>
    </row>
    <row r="38" spans="2:22" ht="16.5" customHeight="1">
      <c r="B38" s="26" t="s">
        <v>59</v>
      </c>
      <c r="C38" s="6" t="s">
        <v>66</v>
      </c>
      <c r="D38" s="17"/>
      <c r="E38" s="52">
        <f>ROUND(G38/H38*100-100,2)</f>
        <v>274.3</v>
      </c>
      <c r="F38" s="99">
        <f>F33-F35-F36-F37</f>
        <v>178.4500000000002</v>
      </c>
      <c r="G38" s="99">
        <f>G33-G35-G36-G37</f>
        <v>94.36000000000027</v>
      </c>
      <c r="H38" s="99">
        <f>H33-H35-H36-H37</f>
        <v>25.20999999999996</v>
      </c>
      <c r="I38" s="99">
        <f>I33-I35-I36-I37</f>
        <v>272.81000000000034</v>
      </c>
      <c r="J38" s="85">
        <f>ROUND(I38/K38*100-100,2)</f>
        <v>150.17</v>
      </c>
      <c r="K38" s="99">
        <f>K33-K35-K36-K37</f>
        <v>109.04999999999963</v>
      </c>
      <c r="L38" s="17"/>
      <c r="M38" s="26"/>
      <c r="N38" s="27" t="s">
        <v>122</v>
      </c>
      <c r="O38" s="54">
        <f>ROUND(Q38/R38*100-100,2)</f>
        <v>177.97</v>
      </c>
      <c r="P38" s="154">
        <f>P33-P35-P37</f>
        <v>336.8</v>
      </c>
      <c r="Q38" s="154">
        <f>Q33-Q35-Q37</f>
        <v>158.11</v>
      </c>
      <c r="R38" s="155">
        <f>R33-R35-R37</f>
        <v>56.879999999999995</v>
      </c>
      <c r="S38" s="155">
        <f>S33-S35-S37</f>
        <v>494.9099999999999</v>
      </c>
      <c r="T38" s="156">
        <f>ROUND(S38/U38*100-100,2)</f>
        <v>233</v>
      </c>
      <c r="U38" s="155">
        <f>U33-U35-U37</f>
        <v>148.61999999999998</v>
      </c>
      <c r="V38" s="18"/>
    </row>
    <row r="39" spans="2:22" ht="16.5" customHeight="1">
      <c r="B39" s="26" t="s">
        <v>47</v>
      </c>
      <c r="C39" s="31" t="s">
        <v>48</v>
      </c>
      <c r="D39" s="59"/>
      <c r="E39" s="53"/>
      <c r="F39" s="103"/>
      <c r="G39" s="103"/>
      <c r="H39" s="103"/>
      <c r="I39" s="103"/>
      <c r="J39" s="85"/>
      <c r="K39" s="103"/>
      <c r="L39" s="17"/>
      <c r="M39" s="18"/>
      <c r="N39" s="73" t="s">
        <v>124</v>
      </c>
      <c r="O39" s="74"/>
      <c r="P39" s="117"/>
      <c r="Q39" s="117"/>
      <c r="R39" s="117"/>
      <c r="S39" s="117"/>
      <c r="T39" s="85"/>
      <c r="U39" s="116"/>
      <c r="V39" s="18"/>
    </row>
    <row r="40" spans="2:22" ht="16.5" customHeight="1">
      <c r="B40" s="26"/>
      <c r="C40" s="38" t="s">
        <v>100</v>
      </c>
      <c r="D40" s="60"/>
      <c r="E40" s="52"/>
      <c r="F40" s="104">
        <v>93.04</v>
      </c>
      <c r="G40" s="104">
        <v>93.04</v>
      </c>
      <c r="H40" s="104">
        <v>93.04</v>
      </c>
      <c r="I40" s="104">
        <v>93.04</v>
      </c>
      <c r="J40" s="85"/>
      <c r="K40" s="104">
        <v>93.04</v>
      </c>
      <c r="L40" s="17"/>
      <c r="M40" s="18"/>
      <c r="N40" s="41" t="s">
        <v>123</v>
      </c>
      <c r="O40" s="61"/>
      <c r="P40" s="132">
        <f>56.92+30.63</f>
        <v>87.55</v>
      </c>
      <c r="Q40" s="133">
        <f>18.13+36.69</f>
        <v>54.81999999999999</v>
      </c>
      <c r="R40" s="102">
        <f>0.07+1.58</f>
        <v>1.6500000000000001</v>
      </c>
      <c r="S40" s="133">
        <f>75.05+67.32</f>
        <v>142.37</v>
      </c>
      <c r="T40" s="85"/>
      <c r="U40" s="102">
        <f>-47.98+5.5</f>
        <v>-42.48</v>
      </c>
      <c r="V40" s="6"/>
    </row>
    <row r="41" spans="2:22" ht="16.5" customHeight="1">
      <c r="B41" s="26" t="s">
        <v>68</v>
      </c>
      <c r="C41" s="19" t="s">
        <v>99</v>
      </c>
      <c r="D41" s="32"/>
      <c r="E41" s="52"/>
      <c r="F41" s="97">
        <v>0</v>
      </c>
      <c r="G41" s="97">
        <v>0</v>
      </c>
      <c r="H41" s="97">
        <v>0</v>
      </c>
      <c r="I41" s="97">
        <f>978.64-17.31+1.92</f>
        <v>963.25</v>
      </c>
      <c r="J41" s="85"/>
      <c r="K41" s="105">
        <v>735.34</v>
      </c>
      <c r="L41" s="6"/>
      <c r="M41" s="18"/>
      <c r="N41" s="82" t="s">
        <v>119</v>
      </c>
      <c r="O41" s="54">
        <f>ROUND(Q41/R41*100-100,2)</f>
        <v>87.02</v>
      </c>
      <c r="P41" s="134">
        <f>P38-P40</f>
        <v>249.25</v>
      </c>
      <c r="Q41" s="134">
        <f>Q38-Q40</f>
        <v>103.29000000000002</v>
      </c>
      <c r="R41" s="134">
        <f>R38-R40</f>
        <v>55.23</v>
      </c>
      <c r="S41" s="134">
        <f>S38-S40</f>
        <v>352.5399999999999</v>
      </c>
      <c r="T41" s="122">
        <f>ROUND(S41/U41*100-100,2)</f>
        <v>84.48</v>
      </c>
      <c r="U41" s="134">
        <f>U38-U40</f>
        <v>191.09999999999997</v>
      </c>
      <c r="V41" s="18"/>
    </row>
    <row r="42" spans="2:22" ht="16.5" customHeight="1">
      <c r="B42" s="21"/>
      <c r="C42" s="38" t="s">
        <v>101</v>
      </c>
      <c r="D42" s="60"/>
      <c r="E42" s="52"/>
      <c r="F42" s="106"/>
      <c r="G42" s="106"/>
      <c r="H42" s="107"/>
      <c r="I42" s="106"/>
      <c r="J42" s="85"/>
      <c r="K42" s="107"/>
      <c r="L42" s="5"/>
      <c r="M42" s="26" t="s">
        <v>5</v>
      </c>
      <c r="N42" s="28" t="s">
        <v>29</v>
      </c>
      <c r="O42" s="78"/>
      <c r="P42" s="116"/>
      <c r="Q42" s="117"/>
      <c r="R42" s="117"/>
      <c r="S42" s="117"/>
      <c r="T42" s="85"/>
      <c r="U42" s="117"/>
      <c r="V42" s="18"/>
    </row>
    <row r="43" spans="2:22" ht="16.5" customHeight="1">
      <c r="B43" s="26" t="s">
        <v>104</v>
      </c>
      <c r="C43" s="31" t="s">
        <v>102</v>
      </c>
      <c r="D43" s="31"/>
      <c r="E43" s="75"/>
      <c r="F43" s="108"/>
      <c r="G43" s="108"/>
      <c r="H43" s="109"/>
      <c r="I43" s="108"/>
      <c r="J43" s="85"/>
      <c r="K43" s="109"/>
      <c r="L43" s="5"/>
      <c r="M43" s="21"/>
      <c r="N43" s="28" t="s">
        <v>49</v>
      </c>
      <c r="O43" s="61"/>
      <c r="P43" s="135"/>
      <c r="Q43" s="117"/>
      <c r="R43" s="117"/>
      <c r="S43" s="117"/>
      <c r="T43" s="85"/>
      <c r="U43" s="117"/>
      <c r="V43" s="18"/>
    </row>
    <row r="44" spans="2:22" ht="16.5" customHeight="1">
      <c r="B44" s="21"/>
      <c r="C44" s="31" t="s">
        <v>103</v>
      </c>
      <c r="D44" s="31"/>
      <c r="E44" s="5"/>
      <c r="F44" s="110"/>
      <c r="G44" s="111"/>
      <c r="H44" s="110"/>
      <c r="I44" s="111"/>
      <c r="J44" s="112"/>
      <c r="K44" s="110"/>
      <c r="L44" s="5"/>
      <c r="M44" s="21"/>
      <c r="N44" s="28" t="s">
        <v>132</v>
      </c>
      <c r="O44" s="52">
        <f>ROUND(Q44/R44*100-100,2)</f>
        <v>-3.04</v>
      </c>
      <c r="P44" s="135">
        <v>516.22</v>
      </c>
      <c r="Q44" s="117">
        <v>560.56</v>
      </c>
      <c r="R44" s="117">
        <v>578.11</v>
      </c>
      <c r="S44" s="117">
        <v>560.56</v>
      </c>
      <c r="T44" s="129">
        <f>ROUND(S44/U44*100-100,2)</f>
        <v>-3.04</v>
      </c>
      <c r="U44" s="117">
        <v>578.11</v>
      </c>
      <c r="V44" s="18"/>
    </row>
    <row r="45" spans="2:22" ht="16.5" customHeight="1">
      <c r="B45" s="21"/>
      <c r="C45" s="31" t="s">
        <v>120</v>
      </c>
      <c r="D45" s="31"/>
      <c r="E45" s="52">
        <f>ROUND(G45/H45*100-100,2)</f>
        <v>274.17</v>
      </c>
      <c r="F45" s="113">
        <f>ROUND(F38/F40*10,2)</f>
        <v>19.18</v>
      </c>
      <c r="G45" s="113">
        <f>ROUND(G38/G40*10,2)</f>
        <v>10.14</v>
      </c>
      <c r="H45" s="113">
        <f>ROUND(H38/H40*10,2)</f>
        <v>2.71</v>
      </c>
      <c r="I45" s="113">
        <f>ROUND(I38/I40*10,2)</f>
        <v>29.32</v>
      </c>
      <c r="J45" s="85">
        <f>ROUND(I45/K45*100-100,2)</f>
        <v>150.17</v>
      </c>
      <c r="K45" s="113">
        <f>ROUND(K38/K40*10,2)</f>
        <v>11.72</v>
      </c>
      <c r="L45" s="5"/>
      <c r="M45" s="21"/>
      <c r="N45" s="2" t="s">
        <v>37</v>
      </c>
      <c r="O45" s="52">
        <f>ROUND(Q45/R45*100-100,2)</f>
        <v>2.73</v>
      </c>
      <c r="P45" s="135">
        <v>767.12</v>
      </c>
      <c r="Q45" s="117">
        <v>774.23</v>
      </c>
      <c r="R45" s="117">
        <v>753.64</v>
      </c>
      <c r="S45" s="117">
        <v>774.23</v>
      </c>
      <c r="T45" s="129">
        <f>ROUND(S45/U45*100-100,2)</f>
        <v>2.73</v>
      </c>
      <c r="U45" s="117">
        <v>753.64</v>
      </c>
      <c r="V45" s="18"/>
    </row>
    <row r="46" spans="2:22" ht="16.5" customHeight="1">
      <c r="B46" s="64"/>
      <c r="C46" s="31" t="s">
        <v>121</v>
      </c>
      <c r="D46" s="31"/>
      <c r="E46" s="52">
        <f>ROUND(G46/H46*100-100,2)</f>
        <v>435.82</v>
      </c>
      <c r="F46" s="113">
        <v>25.42</v>
      </c>
      <c r="G46" s="113">
        <f>(94.36+54.82)/9.304568-16.03+40.59-25.42</f>
        <v>15.172985088614539</v>
      </c>
      <c r="H46" s="113">
        <f>(25.21+1.51)/9.304568-0.04</f>
        <v>2.831707746130718</v>
      </c>
      <c r="I46" s="113">
        <f>(272.81+142.37)/9.304568-4.03</f>
        <v>40.59109363916734</v>
      </c>
      <c r="J46" s="85">
        <f>ROUND(I46/K46*100-100,2)</f>
        <v>298.3</v>
      </c>
      <c r="K46" s="113">
        <f>(109.05-47.98+5.51+33.71-2.21)/9.304568-0.35</f>
        <v>10.191058972324132</v>
      </c>
      <c r="L46" s="17"/>
      <c r="M46" s="21"/>
      <c r="N46" s="2" t="s">
        <v>76</v>
      </c>
      <c r="O46" s="52">
        <f>ROUND(Q46/R46*100-100,2)</f>
        <v>44.4</v>
      </c>
      <c r="P46" s="135">
        <v>848.58</v>
      </c>
      <c r="Q46" s="136">
        <v>853.43</v>
      </c>
      <c r="R46" s="136">
        <v>591.01</v>
      </c>
      <c r="S46" s="136">
        <v>853.43</v>
      </c>
      <c r="T46" s="129">
        <f>ROUND(S46/U46*100-100,2)</f>
        <v>44.4</v>
      </c>
      <c r="U46" s="136">
        <v>591.01</v>
      </c>
      <c r="V46" s="18"/>
    </row>
    <row r="47" spans="2:22" ht="16.5" customHeight="1">
      <c r="B47" s="26" t="s">
        <v>105</v>
      </c>
      <c r="C47" s="6" t="s">
        <v>92</v>
      </c>
      <c r="D47" s="6"/>
      <c r="E47" s="76"/>
      <c r="F47" s="62"/>
      <c r="G47" s="62"/>
      <c r="H47" s="5"/>
      <c r="I47" s="62"/>
      <c r="J47" s="76"/>
      <c r="K47" s="5"/>
      <c r="L47" s="17"/>
      <c r="M47" s="21"/>
      <c r="N47" s="2" t="s">
        <v>90</v>
      </c>
      <c r="O47" s="19"/>
      <c r="P47" s="132">
        <v>0</v>
      </c>
      <c r="Q47" s="137">
        <v>0</v>
      </c>
      <c r="R47" s="138">
        <v>0</v>
      </c>
      <c r="S47" s="139">
        <v>0</v>
      </c>
      <c r="T47" s="140"/>
      <c r="U47" s="141">
        <v>0</v>
      </c>
      <c r="V47" s="18"/>
    </row>
    <row r="48" spans="2:22" ht="16.5" customHeight="1">
      <c r="B48" s="21"/>
      <c r="C48" s="6" t="s">
        <v>40</v>
      </c>
      <c r="D48" s="33"/>
      <c r="E48" s="76"/>
      <c r="F48" s="3" t="s">
        <v>107</v>
      </c>
      <c r="G48" s="3" t="s">
        <v>114</v>
      </c>
      <c r="H48" s="4" t="s">
        <v>93</v>
      </c>
      <c r="I48" s="3" t="s">
        <v>114</v>
      </c>
      <c r="J48" s="52"/>
      <c r="K48" s="4" t="s">
        <v>93</v>
      </c>
      <c r="L48" s="18"/>
      <c r="M48" s="21"/>
      <c r="N48" s="79" t="s">
        <v>73</v>
      </c>
      <c r="O48" s="61">
        <f>ROUND(Q48/R48*100-100,2)</f>
        <v>-4.65</v>
      </c>
      <c r="P48" s="142">
        <v>62.44</v>
      </c>
      <c r="Q48" s="136">
        <v>61.51</v>
      </c>
      <c r="R48" s="136">
        <v>64.51</v>
      </c>
      <c r="S48" s="136">
        <v>61.51</v>
      </c>
      <c r="T48" s="129">
        <f>ROUND(S48/U48*100-100,2)</f>
        <v>-4.65</v>
      </c>
      <c r="U48" s="136">
        <v>64.51</v>
      </c>
      <c r="V48" s="18"/>
    </row>
    <row r="49" spans="2:22" ht="16.5" customHeight="1">
      <c r="B49" s="34"/>
      <c r="C49" s="13" t="s">
        <v>41</v>
      </c>
      <c r="D49" s="63"/>
      <c r="E49" s="77"/>
      <c r="F49" s="72">
        <v>0.5739</v>
      </c>
      <c r="G49" s="72">
        <v>0.574</v>
      </c>
      <c r="H49" s="72">
        <v>0.5729</v>
      </c>
      <c r="I49" s="72">
        <v>0.574</v>
      </c>
      <c r="J49" s="69"/>
      <c r="K49" s="72">
        <v>0.5729</v>
      </c>
      <c r="L49" s="6"/>
      <c r="M49" s="21"/>
      <c r="N49" s="2" t="s">
        <v>28</v>
      </c>
      <c r="O49" s="54">
        <f>ROUND(Q49/R49*100-100,2)</f>
        <v>13.21</v>
      </c>
      <c r="P49" s="143">
        <f>SUM(P44:P48)</f>
        <v>2194.36</v>
      </c>
      <c r="Q49" s="143">
        <f>SUM(Q44:Q48)</f>
        <v>2249.73</v>
      </c>
      <c r="R49" s="143">
        <f>SUM(R44:R48)</f>
        <v>1987.27</v>
      </c>
      <c r="S49" s="144">
        <f>SUM(S44:S48)</f>
        <v>2249.73</v>
      </c>
      <c r="T49" s="122">
        <f>ROUND(S49/U49*100-100,2)</f>
        <v>13.21</v>
      </c>
      <c r="U49" s="143">
        <f>SUM(U44:U48)</f>
        <v>1987.27</v>
      </c>
      <c r="V49" s="18"/>
    </row>
    <row r="50" spans="12:22" ht="16.5" customHeight="1">
      <c r="L50" s="6"/>
      <c r="M50" s="65" t="s">
        <v>50</v>
      </c>
      <c r="N50" s="58" t="s">
        <v>53</v>
      </c>
      <c r="O50" s="15"/>
      <c r="P50" s="145"/>
      <c r="Q50" s="145"/>
      <c r="R50" s="145"/>
      <c r="S50" s="145"/>
      <c r="T50" s="145"/>
      <c r="U50" s="146"/>
      <c r="V50" s="18"/>
    </row>
    <row r="51" spans="12:22" ht="16.5" customHeight="1">
      <c r="L51" s="6"/>
      <c r="M51" s="21" t="s">
        <v>74</v>
      </c>
      <c r="N51" s="19" t="s">
        <v>77</v>
      </c>
      <c r="O51" s="6"/>
      <c r="P51" s="147"/>
      <c r="Q51" s="147"/>
      <c r="R51" s="147"/>
      <c r="S51" s="147"/>
      <c r="T51" s="147"/>
      <c r="U51" s="148"/>
      <c r="V51" s="18"/>
    </row>
    <row r="52" spans="2:22" ht="16.5" customHeight="1">
      <c r="B52" s="80"/>
      <c r="C52" s="6"/>
      <c r="D52" s="6"/>
      <c r="E52" s="6"/>
      <c r="F52" s="6"/>
      <c r="G52" s="6"/>
      <c r="H52" s="6"/>
      <c r="I52" s="6"/>
      <c r="J52" s="6"/>
      <c r="K52" s="6"/>
      <c r="M52" s="21" t="s">
        <v>89</v>
      </c>
      <c r="N52" s="31" t="s">
        <v>91</v>
      </c>
      <c r="O52" s="6"/>
      <c r="P52" s="147"/>
      <c r="Q52" s="147"/>
      <c r="R52" s="147"/>
      <c r="S52" s="147"/>
      <c r="T52" s="147"/>
      <c r="U52" s="148"/>
      <c r="V52" s="18"/>
    </row>
    <row r="53" spans="2:22" ht="16.5" customHeight="1">
      <c r="B53" s="71"/>
      <c r="C53" s="6"/>
      <c r="D53" s="6"/>
      <c r="E53" s="6"/>
      <c r="F53" s="6"/>
      <c r="G53" s="6"/>
      <c r="H53" s="6"/>
      <c r="I53" s="6"/>
      <c r="J53" s="6"/>
      <c r="K53" s="6"/>
      <c r="L53" s="6"/>
      <c r="M53" s="34" t="s">
        <v>54</v>
      </c>
      <c r="N53" s="35" t="s">
        <v>88</v>
      </c>
      <c r="O53" s="13"/>
      <c r="P53" s="149"/>
      <c r="Q53" s="149"/>
      <c r="R53" s="149"/>
      <c r="S53" s="149"/>
      <c r="T53" s="149"/>
      <c r="U53" s="150"/>
      <c r="V53" s="18"/>
    </row>
    <row r="54" spans="3:22" ht="16.5" customHeight="1">
      <c r="C54" s="33"/>
      <c r="P54" s="151"/>
      <c r="Q54" s="151"/>
      <c r="R54" s="151"/>
      <c r="S54" s="151"/>
      <c r="T54" s="151"/>
      <c r="U54" s="152" t="s">
        <v>81</v>
      </c>
      <c r="V54" s="6"/>
    </row>
    <row r="55" spans="2:22" ht="16.5" customHeight="1">
      <c r="B55" s="36"/>
      <c r="C55" s="7"/>
      <c r="P55" s="151"/>
      <c r="Q55" s="151"/>
      <c r="R55" s="151"/>
      <c r="S55" s="151"/>
      <c r="T55" s="151"/>
      <c r="U55" s="151"/>
      <c r="V55" s="6"/>
    </row>
    <row r="56" spans="2:21" ht="16.5" customHeight="1">
      <c r="B56" s="159" t="s">
        <v>2</v>
      </c>
      <c r="C56" s="160"/>
      <c r="D56" s="160"/>
      <c r="E56" s="160"/>
      <c r="F56" s="160"/>
      <c r="G56" s="160"/>
      <c r="H56" s="160"/>
      <c r="I56" s="160"/>
      <c r="J56" s="160"/>
      <c r="K56" s="160"/>
      <c r="L56" s="160"/>
      <c r="M56" s="160"/>
      <c r="N56" s="160"/>
      <c r="O56" s="160"/>
      <c r="P56" s="160"/>
      <c r="Q56" s="160"/>
      <c r="R56" s="160"/>
      <c r="S56" s="160"/>
      <c r="T56" s="160"/>
      <c r="U56" s="160"/>
    </row>
    <row r="57" spans="2:21" ht="16.5" customHeight="1">
      <c r="B57" s="160"/>
      <c r="C57" s="160"/>
      <c r="D57" s="160"/>
      <c r="E57" s="160"/>
      <c r="F57" s="160"/>
      <c r="G57" s="160"/>
      <c r="H57" s="160"/>
      <c r="I57" s="160"/>
      <c r="J57" s="160"/>
      <c r="K57" s="160"/>
      <c r="L57" s="160"/>
      <c r="M57" s="160"/>
      <c r="N57" s="160"/>
      <c r="O57" s="160"/>
      <c r="P57" s="160"/>
      <c r="Q57" s="160"/>
      <c r="R57" s="160"/>
      <c r="S57" s="160"/>
      <c r="T57" s="160"/>
      <c r="U57" s="160"/>
    </row>
    <row r="58" spans="2:21" ht="256.5" customHeight="1">
      <c r="B58" s="160"/>
      <c r="C58" s="160"/>
      <c r="D58" s="160"/>
      <c r="E58" s="160"/>
      <c r="F58" s="160"/>
      <c r="G58" s="160"/>
      <c r="H58" s="160"/>
      <c r="I58" s="160"/>
      <c r="J58" s="160"/>
      <c r="K58" s="160"/>
      <c r="L58" s="160"/>
      <c r="M58" s="160"/>
      <c r="N58" s="160"/>
      <c r="O58" s="160"/>
      <c r="P58" s="160"/>
      <c r="Q58" s="160"/>
      <c r="R58" s="160"/>
      <c r="S58" s="160"/>
      <c r="T58" s="160"/>
      <c r="U58" s="160"/>
    </row>
    <row r="59" spans="2:21" ht="45.75" customHeight="1">
      <c r="B59" s="159" t="s">
        <v>0</v>
      </c>
      <c r="C59" s="161"/>
      <c r="D59" s="161"/>
      <c r="E59" s="161"/>
      <c r="F59" s="161"/>
      <c r="G59" s="161"/>
      <c r="H59" s="161"/>
      <c r="I59" s="161"/>
      <c r="J59" s="161"/>
      <c r="K59" s="161"/>
      <c r="L59" s="161"/>
      <c r="M59" s="161"/>
      <c r="N59" s="161"/>
      <c r="O59" s="161"/>
      <c r="P59" s="161"/>
      <c r="Q59" s="161"/>
      <c r="R59" s="161"/>
      <c r="S59" s="161"/>
      <c r="T59" s="161"/>
      <c r="U59" s="161"/>
    </row>
    <row r="60" spans="2:21" ht="16.5" customHeight="1">
      <c r="B60" s="161"/>
      <c r="C60" s="161"/>
      <c r="D60" s="161"/>
      <c r="E60" s="161"/>
      <c r="F60" s="161"/>
      <c r="G60" s="161"/>
      <c r="H60" s="161"/>
      <c r="I60" s="161"/>
      <c r="J60" s="161"/>
      <c r="K60" s="161"/>
      <c r="L60" s="161"/>
      <c r="M60" s="161"/>
      <c r="N60" s="161"/>
      <c r="O60" s="161"/>
      <c r="P60" s="161"/>
      <c r="Q60" s="161"/>
      <c r="R60" s="161"/>
      <c r="S60" s="161"/>
      <c r="T60" s="161"/>
      <c r="U60" s="161"/>
    </row>
    <row r="61" spans="2:21" ht="405.75" customHeight="1">
      <c r="B61" s="161"/>
      <c r="C61" s="161"/>
      <c r="D61" s="161"/>
      <c r="E61" s="161"/>
      <c r="F61" s="161"/>
      <c r="G61" s="161"/>
      <c r="H61" s="161"/>
      <c r="I61" s="161"/>
      <c r="J61" s="161"/>
      <c r="K61" s="161"/>
      <c r="L61" s="161"/>
      <c r="M61" s="161"/>
      <c r="N61" s="161"/>
      <c r="O61" s="161"/>
      <c r="P61" s="161"/>
      <c r="Q61" s="161"/>
      <c r="R61" s="161"/>
      <c r="S61" s="161"/>
      <c r="T61" s="161"/>
      <c r="U61" s="161"/>
    </row>
    <row r="62" spans="2:21" ht="16.5" customHeight="1">
      <c r="B62" s="159" t="s">
        <v>1</v>
      </c>
      <c r="C62" s="160"/>
      <c r="D62" s="160"/>
      <c r="E62" s="160"/>
      <c r="F62" s="160"/>
      <c r="G62" s="160"/>
      <c r="H62" s="160"/>
      <c r="I62" s="160"/>
      <c r="J62" s="160"/>
      <c r="K62" s="160"/>
      <c r="L62" s="160"/>
      <c r="M62" s="160"/>
      <c r="N62" s="160"/>
      <c r="O62" s="160"/>
      <c r="P62" s="160"/>
      <c r="Q62" s="160"/>
      <c r="R62" s="160"/>
      <c r="S62" s="160"/>
      <c r="T62" s="160"/>
      <c r="U62" s="160"/>
    </row>
    <row r="63" spans="2:21" ht="16.5" customHeight="1">
      <c r="B63" s="160"/>
      <c r="C63" s="160"/>
      <c r="D63" s="160"/>
      <c r="E63" s="160"/>
      <c r="F63" s="160"/>
      <c r="G63" s="160"/>
      <c r="H63" s="160"/>
      <c r="I63" s="160"/>
      <c r="J63" s="160"/>
      <c r="K63" s="160"/>
      <c r="L63" s="160"/>
      <c r="M63" s="160"/>
      <c r="N63" s="160"/>
      <c r="O63" s="160"/>
      <c r="P63" s="160"/>
      <c r="Q63" s="160"/>
      <c r="R63" s="160"/>
      <c r="S63" s="160"/>
      <c r="T63" s="160"/>
      <c r="U63" s="160"/>
    </row>
    <row r="64" spans="2:21" ht="60.75" customHeight="1">
      <c r="B64" s="160"/>
      <c r="C64" s="160"/>
      <c r="D64" s="160"/>
      <c r="E64" s="160"/>
      <c r="F64" s="160"/>
      <c r="G64" s="160"/>
      <c r="H64" s="160"/>
      <c r="I64" s="160"/>
      <c r="J64" s="160"/>
      <c r="K64" s="160"/>
      <c r="L64" s="160"/>
      <c r="M64" s="160"/>
      <c r="N64" s="160"/>
      <c r="O64" s="160"/>
      <c r="P64" s="160"/>
      <c r="Q64" s="160"/>
      <c r="R64" s="160"/>
      <c r="S64" s="160"/>
      <c r="T64" s="160"/>
      <c r="U64" s="160"/>
    </row>
    <row r="68" ht="16.5" customHeight="1">
      <c r="N68" s="37"/>
    </row>
  </sheetData>
  <mergeCells count="5">
    <mergeCell ref="B62:U64"/>
    <mergeCell ref="B2:K2"/>
    <mergeCell ref="M2:U2"/>
    <mergeCell ref="B56:U58"/>
    <mergeCell ref="B59:U61"/>
  </mergeCells>
  <printOptions horizontalCentered="1" verticalCentered="1"/>
  <pageMargins left="0" right="0.25" top="0.5" bottom="0" header="0" footer="0"/>
  <pageSetup fitToHeight="1" fitToWidth="1" horizontalDpi="300" verticalDpi="300" orientation="landscape" paperSize="5"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typest-4</dc:creator>
  <cp:keywords/>
  <dc:description/>
  <cp:lastModifiedBy>viren</cp:lastModifiedBy>
  <cp:lastPrinted>2007-05-03T12:39:19Z</cp:lastPrinted>
  <dcterms:created xsi:type="dcterms:W3CDTF">2000-05-05T10:00:49Z</dcterms:created>
  <dcterms:modified xsi:type="dcterms:W3CDTF">2007-05-03T13:18:46Z</dcterms:modified>
  <cp:category/>
  <cp:version/>
  <cp:contentType/>
  <cp:contentStatus/>
</cp:coreProperties>
</file>